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mc:AlternateContent xmlns:mc="http://schemas.openxmlformats.org/markup-compatibility/2006">
    <mc:Choice Requires="x15">
      <x15ac:absPath xmlns:x15ac="http://schemas.microsoft.com/office/spreadsheetml/2010/11/ac" url="C:\Users\hp\OneDrive\01.VGBC Folder\LOTUS Systems\LOTUS Small Interiors\3_ LOTUS SI V2\2. User Tool\"/>
    </mc:Choice>
  </mc:AlternateContent>
  <xr:revisionPtr revIDLastSave="0" documentId="13_ncr:1_{8EBAE873-BEB5-48D0-B0BD-F0283679572C}" xr6:coauthVersionLast="45" xr6:coauthVersionMax="45" xr10:uidLastSave="{00000000-0000-0000-0000-000000000000}"/>
  <workbookProtection workbookAlgorithmName="SHA-512" workbookHashValue="hp3FAHM/yorVI9vEoTn8Oeh5EwzR2LJafgIib48hgLE0QK8bppSHhw7jJfwJ96OOVngFV4q19YXbYLaWqimWFA==" workbookSaltValue="yBnefYtmPhu/tPPtCQ8HVg==" workbookSpinCount="100000" lockStructure="1"/>
  <bookViews>
    <workbookView xWindow="-120" yWindow="-120" windowWidth="24240" windowHeight="13140" firstSheet="1" activeTab="1" xr2:uid="{00000000-000D-0000-FFFF-FFFF00000000}"/>
  </bookViews>
  <sheets>
    <sheet name="Submittals" sheetId="103" state="hidden" r:id="rId1"/>
    <sheet name="Home" sheetId="108" r:id="rId2"/>
    <sheet name="Acknowledgments" sheetId="115" r:id="rId3"/>
    <sheet name="Introduction" sheetId="20" r:id="rId4"/>
    <sheet name="Instructions" sheetId="22" r:id="rId5"/>
    <sheet name="Recommendations" sheetId="102" r:id="rId6"/>
    <sheet name="LOTUS SI Eligibility" sheetId="104" r:id="rId7"/>
    <sheet name="Application Form" sheetId="114" r:id="rId8"/>
    <sheet name="Project information" sheetId="11" r:id="rId9"/>
    <sheet name="Pre-assessment checklist" sheetId="78" r:id="rId10"/>
    <sheet name="Prov. Certification checklist" sheetId="105" state="hidden" r:id="rId11"/>
    <sheet name="Certification checklist " sheetId="79" r:id="rId12"/>
    <sheet name="LOTUS SI Scorecard" sheetId="25" r:id="rId13"/>
    <sheet name="Graphical Results" sheetId="57" r:id="rId14"/>
    <sheet name="Energy" sheetId="45" r:id="rId15"/>
    <sheet name="E-1 Space cooling" sheetId="8" r:id="rId16"/>
    <sheet name="E-2 Artificial Lighting" sheetId="7" r:id="rId17"/>
    <sheet name="E-3 Energy Efficient Appliances" sheetId="18" r:id="rId18"/>
    <sheet name="E-4 Energy Monitor" sheetId="37" r:id="rId19"/>
    <sheet name="Energy BPC" sheetId="116" r:id="rId20"/>
    <sheet name="Water" sheetId="41" r:id="rId21"/>
    <sheet name="W-1 Water Efficient Fixtures" sheetId="19" r:id="rId22"/>
    <sheet name="W-2 Drinking Water " sheetId="53" r:id="rId23"/>
    <sheet name="Materials &amp; Resources" sheetId="46" r:id="rId24"/>
    <sheet name="Materials Glossary" sheetId="118" r:id="rId25"/>
    <sheet name="MR-1 Sustainable Materials" sheetId="61" r:id="rId26"/>
    <sheet name="MR-2 Sustainable Furniture" sheetId="69" r:id="rId27"/>
    <sheet name="MR-3 Fit-out Waste" sheetId="84" r:id="rId28"/>
    <sheet name="MR-4 Operation Waste Management" sheetId="85" r:id="rId29"/>
    <sheet name="Health &amp; Comfort" sheetId="47" r:id="rId30"/>
    <sheet name="H-1 Fresh Air Supply" sheetId="30" r:id="rId31"/>
    <sheet name="H-2 Low-VOC Emissions " sheetId="27" r:id="rId32"/>
    <sheet name="H-3 Interior Plants" sheetId="90" r:id="rId33"/>
    <sheet name="H-4 Green Cleaning" sheetId="91" r:id="rId34"/>
    <sheet name="H-5 Daylighting" sheetId="28" r:id="rId35"/>
    <sheet name="H-6 External Views" sheetId="92" r:id="rId36"/>
    <sheet name="H-7 Thermal Comfort" sheetId="95" r:id="rId37"/>
    <sheet name="H&amp;C BPC" sheetId="117" r:id="rId38"/>
    <sheet name="Site &amp; Environment" sheetId="49" r:id="rId39"/>
    <sheet name="SE-1 Base building " sheetId="93" r:id="rId40"/>
    <sheet name="SE-2 Tenancy lease" sheetId="97" r:id="rId41"/>
    <sheet name="SE-3 Green Transportation " sheetId="21" r:id="rId42"/>
    <sheet name="SE-4 Refrigerants" sheetId="83" r:id="rId43"/>
    <sheet name="SE-BPC" sheetId="98" r:id="rId44"/>
    <sheet name="Management" sheetId="50" r:id="rId45"/>
    <sheet name="Man-1 Construction Stage" sheetId="36" r:id="rId46"/>
    <sheet name="Man-2 Commissioning" sheetId="51" r:id="rId47"/>
    <sheet name="Man-3 Maintenance" sheetId="86" r:id="rId48"/>
    <sheet name="Man-4 Green Awareness " sheetId="87" r:id="rId49"/>
    <sheet name="Man BPC" sheetId="119" r:id="rId50"/>
    <sheet name="Exceptional Performance" sheetId="52" r:id="rId51"/>
    <sheet name="EP-1 Enhanced Performance " sheetId="71" r:id="rId52"/>
    <sheet name="EP-2 Innovative Solutions" sheetId="72" r:id="rId53"/>
    <sheet name="Additional information" sheetId="113" r:id="rId54"/>
    <sheet name="Glossary" sheetId="110" r:id="rId55"/>
    <sheet name="Resources" sheetId="39" r:id="rId56"/>
  </sheets>
  <externalReferences>
    <externalReference r:id="rId57"/>
  </externalReferences>
  <definedNames>
    <definedName name="basic_services">'[1]LE-1 Site Selection'!$O$101:$O$128</definedName>
    <definedName name="buildingtype">'[1]H-1 Fresh Air Supply'!$P$70:$P$82</definedName>
    <definedName name="Locations">'[1]Rainfall Data'!$A$4:$A$68</definedName>
    <definedName name="_xlnm.Print_Area" localSheetId="7">'Application Form'!$A$1:$H$83</definedName>
    <definedName name="Process_type">'W-1 Water Efficient Fixtures'!$M$207:$M$221</definedName>
    <definedName name="space_type_acoustic">'H&amp;C BPC'!$P$304:$P$314</definedName>
    <definedName name="space_types">'E-2 Artificial Lighting'!$M$39:$M$50</definedName>
    <definedName name="Sustainable_furniture">'MR-2 Sustainable Furniture'!$N$35:$N$45</definedName>
    <definedName name="sustainable_furniture_features">'MR-2 Sustainable Furniture'!$N$47:$N$54</definedName>
    <definedName name="Sustainable_materials">'MR-1 Sustainable Materials'!$N$35:$N$46</definedName>
    <definedName name="sustainable_materials_features">'MR-1 Sustainable Materials'!$N$48:$N$56</definedName>
    <definedName name="toto" hidden="1">0</definedName>
    <definedName name="type_AC">'E-1 Space cooling'!$O$181:$O$190</definedName>
    <definedName name="type_ductedAC">'E-1 Space cooling'!$O$184:$O$190</definedName>
    <definedName name="type_nonductedAC">'E-1 Space cooling'!$O$181:$O$183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5" i="53" l="1"/>
  <c r="F99" i="7"/>
  <c r="G16" i="87"/>
  <c r="G16" i="21"/>
  <c r="J41" i="18"/>
  <c r="J42" i="18"/>
  <c r="J43" i="18"/>
  <c r="J44" i="18"/>
  <c r="J45" i="18"/>
  <c r="J46" i="18"/>
  <c r="J47" i="18"/>
  <c r="J48" i="18"/>
  <c r="J49" i="18"/>
  <c r="J50" i="18"/>
  <c r="J51" i="18"/>
  <c r="J52" i="18"/>
  <c r="J53" i="18"/>
  <c r="J54" i="18"/>
  <c r="J55" i="18"/>
  <c r="J56" i="18"/>
  <c r="J57" i="18"/>
  <c r="J58" i="18"/>
  <c r="J59" i="18"/>
  <c r="J40" i="18"/>
  <c r="F150" i="28"/>
  <c r="G13" i="19"/>
  <c r="C75" i="117" l="1"/>
  <c r="O111" i="61"/>
  <c r="O62" i="69"/>
  <c r="O63" i="69"/>
  <c r="O61" i="69"/>
  <c r="N64" i="69"/>
  <c r="N67" i="69"/>
  <c r="N70" i="69"/>
  <c r="N73" i="69"/>
  <c r="N76" i="69"/>
  <c r="N79" i="69"/>
  <c r="N82" i="69"/>
  <c r="N85" i="69"/>
  <c r="N88" i="69"/>
  <c r="N91" i="69"/>
  <c r="N94" i="69"/>
  <c r="N97" i="69"/>
  <c r="N100" i="69"/>
  <c r="N103" i="69"/>
  <c r="N61" i="69"/>
  <c r="M61" i="69"/>
  <c r="O105" i="69"/>
  <c r="O104" i="69"/>
  <c r="O103" i="69"/>
  <c r="M103" i="69"/>
  <c r="O102" i="69"/>
  <c r="O101" i="69"/>
  <c r="O100" i="69"/>
  <c r="M100" i="69"/>
  <c r="O99" i="69"/>
  <c r="O98" i="69"/>
  <c r="O97" i="69"/>
  <c r="M97" i="69"/>
  <c r="O96" i="69"/>
  <c r="O95" i="69"/>
  <c r="O94" i="69"/>
  <c r="M94" i="69"/>
  <c r="O93" i="69"/>
  <c r="O92" i="69"/>
  <c r="O91" i="69"/>
  <c r="M91" i="69"/>
  <c r="O90" i="69"/>
  <c r="O89" i="69"/>
  <c r="O88" i="69"/>
  <c r="M88" i="69"/>
  <c r="O87" i="69"/>
  <c r="O86" i="69"/>
  <c r="O85" i="69"/>
  <c r="M85" i="69"/>
  <c r="O84" i="69"/>
  <c r="O83" i="69"/>
  <c r="O82" i="69"/>
  <c r="M82" i="69"/>
  <c r="O81" i="69"/>
  <c r="O80" i="69"/>
  <c r="O79" i="69"/>
  <c r="M79" i="69"/>
  <c r="O78" i="69"/>
  <c r="O77" i="69"/>
  <c r="O76" i="69"/>
  <c r="M76" i="69"/>
  <c r="O75" i="69"/>
  <c r="O74" i="69"/>
  <c r="O73" i="69"/>
  <c r="M73" i="69"/>
  <c r="O72" i="69"/>
  <c r="O71" i="69"/>
  <c r="O70" i="69"/>
  <c r="M70" i="69"/>
  <c r="O69" i="69"/>
  <c r="O68" i="69"/>
  <c r="O67" i="69"/>
  <c r="M67" i="69"/>
  <c r="O66" i="69"/>
  <c r="O65" i="69"/>
  <c r="O64" i="69"/>
  <c r="M64" i="69"/>
  <c r="O93" i="61"/>
  <c r="O71" i="61"/>
  <c r="O72" i="61"/>
  <c r="O73" i="61"/>
  <c r="O74" i="61"/>
  <c r="O75" i="61"/>
  <c r="O76" i="61"/>
  <c r="O77" i="61"/>
  <c r="O78" i="61"/>
  <c r="O79" i="61"/>
  <c r="O80" i="61"/>
  <c r="O81" i="61"/>
  <c r="O82" i="61"/>
  <c r="O83" i="61"/>
  <c r="O84" i="61"/>
  <c r="O85" i="61"/>
  <c r="O86" i="61"/>
  <c r="O87" i="61"/>
  <c r="O88" i="61"/>
  <c r="O89" i="61"/>
  <c r="O90" i="61"/>
  <c r="O91" i="61"/>
  <c r="O92" i="61"/>
  <c r="O94" i="61"/>
  <c r="O95" i="61"/>
  <c r="O96" i="61"/>
  <c r="O97" i="61"/>
  <c r="O98" i="61"/>
  <c r="O99" i="61"/>
  <c r="O100" i="61"/>
  <c r="O101" i="61"/>
  <c r="O102" i="61"/>
  <c r="O103" i="61"/>
  <c r="O104" i="61"/>
  <c r="O105" i="61"/>
  <c r="O106" i="61"/>
  <c r="O107" i="61"/>
  <c r="O108" i="61"/>
  <c r="O109" i="61"/>
  <c r="O110" i="61"/>
  <c r="O112" i="61"/>
  <c r="O113" i="61"/>
  <c r="O114" i="61"/>
  <c r="O70" i="61"/>
  <c r="N73" i="61"/>
  <c r="N76" i="61"/>
  <c r="N79" i="61"/>
  <c r="N82" i="61"/>
  <c r="N85" i="61"/>
  <c r="N88" i="61"/>
  <c r="N91" i="61"/>
  <c r="N94" i="61"/>
  <c r="N97" i="61"/>
  <c r="N100" i="61"/>
  <c r="N103" i="61"/>
  <c r="N106" i="61"/>
  <c r="N109" i="61"/>
  <c r="N112" i="61"/>
  <c r="N70" i="61"/>
  <c r="M112" i="61"/>
  <c r="M109" i="61"/>
  <c r="M106" i="61"/>
  <c r="M103" i="61"/>
  <c r="M100" i="61"/>
  <c r="M97" i="61"/>
  <c r="M94" i="61"/>
  <c r="M91" i="61"/>
  <c r="M88" i="61"/>
  <c r="M85" i="61"/>
  <c r="M82" i="61"/>
  <c r="M79" i="61"/>
  <c r="M76" i="61"/>
  <c r="M73" i="61"/>
  <c r="M70" i="61"/>
  <c r="G64" i="69" l="1"/>
  <c r="H64" i="69" s="1"/>
  <c r="G67" i="69"/>
  <c r="H67" i="69" s="1"/>
  <c r="G70" i="69"/>
  <c r="H70" i="69" s="1"/>
  <c r="G73" i="69"/>
  <c r="H73" i="69" s="1"/>
  <c r="G76" i="69"/>
  <c r="H76" i="69" s="1"/>
  <c r="G79" i="69"/>
  <c r="H79" i="69" s="1"/>
  <c r="G82" i="69"/>
  <c r="H82" i="69" s="1"/>
  <c r="G85" i="69"/>
  <c r="H85" i="69" s="1"/>
  <c r="G88" i="69"/>
  <c r="H88" i="69" s="1"/>
  <c r="G91" i="69"/>
  <c r="H91" i="69" s="1"/>
  <c r="G94" i="69"/>
  <c r="H94" i="69" s="1"/>
  <c r="G97" i="69"/>
  <c r="H97" i="69" s="1"/>
  <c r="G100" i="69"/>
  <c r="H100" i="69" s="1"/>
  <c r="G103" i="69"/>
  <c r="H103" i="69" s="1"/>
  <c r="G61" i="69"/>
  <c r="H61" i="69" s="1"/>
  <c r="G112" i="61"/>
  <c r="G100" i="61"/>
  <c r="G76" i="61"/>
  <c r="G106" i="61"/>
  <c r="G94" i="61"/>
  <c r="G82" i="61"/>
  <c r="G103" i="61"/>
  <c r="G91" i="61"/>
  <c r="G79" i="61"/>
  <c r="G88" i="61"/>
  <c r="G109" i="61"/>
  <c r="G97" i="61"/>
  <c r="G85" i="61"/>
  <c r="G73" i="61"/>
  <c r="G70" i="61"/>
  <c r="O72" i="7" l="1"/>
  <c r="P72" i="7"/>
  <c r="Q72" i="7"/>
  <c r="R72" i="7"/>
  <c r="S72" i="7"/>
  <c r="T72" i="7"/>
  <c r="N72" i="7"/>
  <c r="M137" i="7"/>
  <c r="M138" i="7"/>
  <c r="M139" i="7"/>
  <c r="M140" i="7"/>
  <c r="M141" i="7"/>
  <c r="M142" i="7"/>
  <c r="M143" i="7"/>
  <c r="M144" i="7"/>
  <c r="M145" i="7"/>
  <c r="M146" i="7"/>
  <c r="M147" i="7"/>
  <c r="M148" i="7"/>
  <c r="M149" i="7"/>
  <c r="M150" i="7"/>
  <c r="M151" i="7"/>
  <c r="M152" i="7"/>
  <c r="M153" i="7"/>
  <c r="M154" i="7"/>
  <c r="M155" i="7"/>
  <c r="M136" i="7"/>
  <c r="N137" i="7"/>
  <c r="N138" i="7"/>
  <c r="O138" i="7" s="1"/>
  <c r="J138" i="7" s="1"/>
  <c r="N139" i="7"/>
  <c r="O139" i="7" s="1"/>
  <c r="J139" i="7" s="1"/>
  <c r="N140" i="7"/>
  <c r="N141" i="7"/>
  <c r="N142" i="7"/>
  <c r="O142" i="7" s="1"/>
  <c r="J142" i="7" s="1"/>
  <c r="N143" i="7"/>
  <c r="O143" i="7" s="1"/>
  <c r="J143" i="7" s="1"/>
  <c r="N144" i="7"/>
  <c r="N145" i="7"/>
  <c r="N146" i="7"/>
  <c r="O146" i="7" s="1"/>
  <c r="J146" i="7" s="1"/>
  <c r="N147" i="7"/>
  <c r="O147" i="7" s="1"/>
  <c r="J147" i="7" s="1"/>
  <c r="N148" i="7"/>
  <c r="N149" i="7"/>
  <c r="O149" i="7" s="1"/>
  <c r="J149" i="7" s="1"/>
  <c r="N150" i="7"/>
  <c r="O150" i="7" s="1"/>
  <c r="J150" i="7" s="1"/>
  <c r="N151" i="7"/>
  <c r="N152" i="7"/>
  <c r="N153" i="7"/>
  <c r="N154" i="7"/>
  <c r="O154" i="7" s="1"/>
  <c r="J154" i="7" s="1"/>
  <c r="N155" i="7"/>
  <c r="N136" i="7"/>
  <c r="Z245" i="8"/>
  <c r="AB247" i="8"/>
  <c r="AB249" i="8"/>
  <c r="Z253" i="8"/>
  <c r="S242" i="8"/>
  <c r="AA242" i="8" s="1"/>
  <c r="S243" i="8"/>
  <c r="AA243" i="8" s="1"/>
  <c r="S244" i="8"/>
  <c r="Z244" i="8" s="1"/>
  <c r="S245" i="8"/>
  <c r="AA245" i="8" s="1"/>
  <c r="S246" i="8"/>
  <c r="AB246" i="8" s="1"/>
  <c r="S247" i="8"/>
  <c r="Z247" i="8" s="1"/>
  <c r="S248" i="8"/>
  <c r="Z248" i="8" s="1"/>
  <c r="S249" i="8"/>
  <c r="AA249" i="8" s="1"/>
  <c r="S250" i="8"/>
  <c r="AB250" i="8" s="1"/>
  <c r="S251" i="8"/>
  <c r="Z251" i="8" s="1"/>
  <c r="S252" i="8"/>
  <c r="Z252" i="8" s="1"/>
  <c r="S253" i="8"/>
  <c r="AA253" i="8" s="1"/>
  <c r="S254" i="8"/>
  <c r="AB254" i="8" s="1"/>
  <c r="S255" i="8"/>
  <c r="S241" i="8"/>
  <c r="AB241" i="8" s="1"/>
  <c r="Z246" i="8" l="1"/>
  <c r="AA254" i="8"/>
  <c r="AB251" i="8"/>
  <c r="Z249" i="8"/>
  <c r="AB245" i="8"/>
  <c r="Z254" i="8"/>
  <c r="AA250" i="8"/>
  <c r="AB253" i="8"/>
  <c r="Z250" i="8"/>
  <c r="AA246" i="8"/>
  <c r="AB243" i="8"/>
  <c r="O152" i="7"/>
  <c r="J152" i="7" s="1"/>
  <c r="O140" i="7"/>
  <c r="J140" i="7" s="1"/>
  <c r="O155" i="7"/>
  <c r="J155" i="7" s="1"/>
  <c r="O151" i="7"/>
  <c r="J151" i="7" s="1"/>
  <c r="O148" i="7"/>
  <c r="J148" i="7" s="1"/>
  <c r="O144" i="7"/>
  <c r="J144" i="7" s="1"/>
  <c r="O153" i="7"/>
  <c r="J153" i="7" s="1"/>
  <c r="O145" i="7"/>
  <c r="J145" i="7" s="1"/>
  <c r="O141" i="7"/>
  <c r="J141" i="7" s="1"/>
  <c r="O137" i="7"/>
  <c r="J137" i="7" s="1"/>
  <c r="O136" i="7"/>
  <c r="J136" i="7" s="1"/>
  <c r="AB252" i="8"/>
  <c r="AA251" i="8"/>
  <c r="AB248" i="8"/>
  <c r="AA247" i="8"/>
  <c r="AB244" i="8"/>
  <c r="AA252" i="8"/>
  <c r="AA248" i="8"/>
  <c r="AA244" i="8"/>
  <c r="AB242" i="8"/>
  <c r="Z242" i="8"/>
  <c r="Z241" i="8"/>
  <c r="AA241" i="8"/>
  <c r="H230" i="8"/>
  <c r="P242" i="8"/>
  <c r="Q242" i="8"/>
  <c r="P243" i="8"/>
  <c r="Q243" i="8"/>
  <c r="P244" i="8"/>
  <c r="Q244" i="8"/>
  <c r="P245" i="8"/>
  <c r="Q245" i="8"/>
  <c r="P246" i="8"/>
  <c r="Q246" i="8"/>
  <c r="P247" i="8"/>
  <c r="Q247" i="8"/>
  <c r="P248" i="8"/>
  <c r="Q248" i="8"/>
  <c r="P249" i="8"/>
  <c r="Q249" i="8"/>
  <c r="P250" i="8"/>
  <c r="Q250" i="8"/>
  <c r="P251" i="8"/>
  <c r="Q251" i="8"/>
  <c r="P252" i="8"/>
  <c r="Q252" i="8"/>
  <c r="P253" i="8"/>
  <c r="Q253" i="8"/>
  <c r="P254" i="8"/>
  <c r="Q254" i="8"/>
  <c r="P255" i="8"/>
  <c r="Q255" i="8"/>
  <c r="Q241" i="8"/>
  <c r="P241" i="8"/>
  <c r="P215" i="8"/>
  <c r="D157" i="7" l="1"/>
  <c r="R241" i="8"/>
  <c r="Y241" i="8" l="1"/>
  <c r="V241" i="8"/>
  <c r="L215" i="8"/>
  <c r="Q215" i="8"/>
  <c r="R215" i="8" s="1"/>
  <c r="Q216" i="8"/>
  <c r="L216" i="8" s="1"/>
  <c r="Q217" i="8"/>
  <c r="Q218" i="8"/>
  <c r="Q219" i="8"/>
  <c r="Q220" i="8"/>
  <c r="Q221" i="8"/>
  <c r="Q222" i="8"/>
  <c r="Q223" i="8"/>
  <c r="Q224" i="8"/>
  <c r="Q225" i="8"/>
  <c r="Q226" i="8"/>
  <c r="Q227" i="8"/>
  <c r="Q228" i="8"/>
  <c r="Q229" i="8"/>
  <c r="P216" i="8"/>
  <c r="P217" i="8"/>
  <c r="P218" i="8"/>
  <c r="P219" i="8"/>
  <c r="P220" i="8"/>
  <c r="P221" i="8"/>
  <c r="P222" i="8"/>
  <c r="P223" i="8"/>
  <c r="P224" i="8"/>
  <c r="P225" i="8"/>
  <c r="P226" i="8"/>
  <c r="P227" i="8"/>
  <c r="P228" i="8"/>
  <c r="P229" i="8"/>
  <c r="S230" i="8"/>
  <c r="S229" i="8"/>
  <c r="W229" i="8" s="1"/>
  <c r="S228" i="8"/>
  <c r="V228" i="8" s="1"/>
  <c r="S227" i="8"/>
  <c r="W227" i="8" s="1"/>
  <c r="S226" i="8"/>
  <c r="V226" i="8" s="1"/>
  <c r="S225" i="8"/>
  <c r="W225" i="8" s="1"/>
  <c r="S224" i="8"/>
  <c r="V224" i="8" s="1"/>
  <c r="S223" i="8"/>
  <c r="W223" i="8" s="1"/>
  <c r="S222" i="8"/>
  <c r="V222" i="8" s="1"/>
  <c r="S221" i="8"/>
  <c r="W221" i="8" s="1"/>
  <c r="S220" i="8"/>
  <c r="V220" i="8" s="1"/>
  <c r="S219" i="8"/>
  <c r="W219" i="8" s="1"/>
  <c r="S218" i="8"/>
  <c r="V218" i="8" s="1"/>
  <c r="S217" i="8"/>
  <c r="W217" i="8" s="1"/>
  <c r="S216" i="8"/>
  <c r="V216" i="8" s="1"/>
  <c r="S215" i="8"/>
  <c r="W215" i="8" s="1"/>
  <c r="G107" i="103"/>
  <c r="B183" i="117" s="1"/>
  <c r="G106" i="103"/>
  <c r="B182" i="117" s="1"/>
  <c r="N167" i="117"/>
  <c r="N168" i="117"/>
  <c r="N169" i="117"/>
  <c r="N170" i="117"/>
  <c r="N171" i="117"/>
  <c r="N172" i="117"/>
  <c r="N173" i="117"/>
  <c r="N174" i="117"/>
  <c r="N175" i="117"/>
  <c r="N166" i="117"/>
  <c r="F165" i="117"/>
  <c r="V225" i="8" l="1"/>
  <c r="R218" i="8"/>
  <c r="I218" i="8" s="1"/>
  <c r="R222" i="8"/>
  <c r="I222" i="8" s="1"/>
  <c r="U221" i="8"/>
  <c r="T229" i="8"/>
  <c r="V221" i="8"/>
  <c r="R226" i="8"/>
  <c r="I226" i="8" s="1"/>
  <c r="U229" i="8"/>
  <c r="V217" i="8"/>
  <c r="R223" i="8"/>
  <c r="L223" i="8" s="1"/>
  <c r="U225" i="8"/>
  <c r="R228" i="8"/>
  <c r="L228" i="8" s="1"/>
  <c r="V229" i="8"/>
  <c r="R216" i="8"/>
  <c r="I216" i="8" s="1"/>
  <c r="Y217" i="8"/>
  <c r="I215" i="8"/>
  <c r="T217" i="8"/>
  <c r="R220" i="8"/>
  <c r="I220" i="8" s="1"/>
  <c r="Y221" i="8"/>
  <c r="U217" i="8"/>
  <c r="R219" i="8"/>
  <c r="L219" i="8" s="1"/>
  <c r="T221" i="8"/>
  <c r="R224" i="8"/>
  <c r="L224" i="8" s="1"/>
  <c r="Y229" i="8"/>
  <c r="X219" i="8"/>
  <c r="X223" i="8"/>
  <c r="X227" i="8"/>
  <c r="Y215" i="8"/>
  <c r="T219" i="8"/>
  <c r="Y219" i="8"/>
  <c r="R221" i="8"/>
  <c r="I221" i="8" s="1"/>
  <c r="T223" i="8"/>
  <c r="Y223" i="8"/>
  <c r="T227" i="8"/>
  <c r="Y227" i="8"/>
  <c r="X217" i="8"/>
  <c r="U219" i="8"/>
  <c r="X221" i="8"/>
  <c r="U223" i="8"/>
  <c r="X225" i="8"/>
  <c r="U227" i="8"/>
  <c r="R229" i="8"/>
  <c r="L229" i="8" s="1"/>
  <c r="X215" i="8"/>
  <c r="R217" i="8"/>
  <c r="I217" i="8" s="1"/>
  <c r="R225" i="8"/>
  <c r="L225" i="8" s="1"/>
  <c r="V219" i="8"/>
  <c r="V223" i="8"/>
  <c r="T225" i="8"/>
  <c r="Y225" i="8"/>
  <c r="R227" i="8"/>
  <c r="I227" i="8" s="1"/>
  <c r="V227" i="8"/>
  <c r="X229" i="8"/>
  <c r="T215" i="8"/>
  <c r="O215" i="8"/>
  <c r="U215" i="8" s="1"/>
  <c r="W216" i="8"/>
  <c r="W228" i="8"/>
  <c r="T216" i="8"/>
  <c r="X216" i="8"/>
  <c r="L217" i="8"/>
  <c r="T218" i="8"/>
  <c r="X218" i="8"/>
  <c r="T220" i="8"/>
  <c r="X220" i="8"/>
  <c r="T222" i="8"/>
  <c r="X222" i="8"/>
  <c r="T224" i="8"/>
  <c r="X224" i="8"/>
  <c r="T226" i="8"/>
  <c r="X226" i="8"/>
  <c r="T228" i="8"/>
  <c r="X228" i="8"/>
  <c r="W218" i="8"/>
  <c r="W220" i="8"/>
  <c r="W222" i="8"/>
  <c r="W226" i="8"/>
  <c r="U216" i="8"/>
  <c r="Y216" i="8"/>
  <c r="U218" i="8"/>
  <c r="Y218" i="8"/>
  <c r="U220" i="8"/>
  <c r="Y220" i="8"/>
  <c r="U222" i="8"/>
  <c r="Y222" i="8"/>
  <c r="U224" i="8"/>
  <c r="Y224" i="8"/>
  <c r="U226" i="8"/>
  <c r="Y226" i="8"/>
  <c r="U228" i="8"/>
  <c r="Y228" i="8"/>
  <c r="W224" i="8"/>
  <c r="D177" i="117"/>
  <c r="C187" i="117" s="1"/>
  <c r="I109" i="92"/>
  <c r="I112" i="92"/>
  <c r="I115" i="92"/>
  <c r="J115" i="92" s="1"/>
  <c r="I118" i="92"/>
  <c r="I121" i="92"/>
  <c r="I124" i="92"/>
  <c r="I127" i="92"/>
  <c r="J127" i="92" s="1"/>
  <c r="I130" i="92"/>
  <c r="I133" i="92"/>
  <c r="I136" i="92"/>
  <c r="I139" i="92"/>
  <c r="J139" i="92" s="1"/>
  <c r="I142" i="92"/>
  <c r="I145" i="92"/>
  <c r="I148" i="92"/>
  <c r="I151" i="92"/>
  <c r="J151" i="92" s="1"/>
  <c r="I154" i="92"/>
  <c r="I157" i="92"/>
  <c r="I160" i="92"/>
  <c r="I163" i="92"/>
  <c r="J163" i="92" s="1"/>
  <c r="I106" i="92"/>
  <c r="J160" i="92"/>
  <c r="J157" i="92"/>
  <c r="J154" i="92"/>
  <c r="J148" i="92"/>
  <c r="J145" i="92"/>
  <c r="J142" i="92"/>
  <c r="J136" i="92"/>
  <c r="J133" i="92"/>
  <c r="J130" i="92"/>
  <c r="J124" i="92"/>
  <c r="J121" i="92"/>
  <c r="J118" i="92"/>
  <c r="J112" i="92"/>
  <c r="J109" i="92"/>
  <c r="G191" i="27"/>
  <c r="G192" i="27"/>
  <c r="G193" i="27"/>
  <c r="G194" i="27"/>
  <c r="G195" i="27"/>
  <c r="G196" i="27"/>
  <c r="G197" i="27"/>
  <c r="G198" i="27"/>
  <c r="G199" i="27"/>
  <c r="G190" i="27"/>
  <c r="G49" i="27"/>
  <c r="G50" i="27"/>
  <c r="G51" i="27"/>
  <c r="G52" i="27"/>
  <c r="G53" i="27"/>
  <c r="G54" i="27"/>
  <c r="G55" i="27"/>
  <c r="G56" i="27"/>
  <c r="G57" i="27"/>
  <c r="G48" i="27"/>
  <c r="G82" i="27"/>
  <c r="G83" i="27"/>
  <c r="G84" i="27"/>
  <c r="G85" i="27"/>
  <c r="G86" i="27"/>
  <c r="G87" i="27"/>
  <c r="G88" i="27"/>
  <c r="G89" i="27"/>
  <c r="G90" i="27"/>
  <c r="G81" i="27"/>
  <c r="G120" i="27"/>
  <c r="G121" i="27"/>
  <c r="G122" i="27"/>
  <c r="G123" i="27"/>
  <c r="G124" i="27"/>
  <c r="G125" i="27"/>
  <c r="G126" i="27"/>
  <c r="G127" i="27"/>
  <c r="G128" i="27"/>
  <c r="G119" i="27"/>
  <c r="O155" i="27"/>
  <c r="O156" i="27"/>
  <c r="O157" i="27"/>
  <c r="O158" i="27"/>
  <c r="O159" i="27"/>
  <c r="O160" i="27"/>
  <c r="O161" i="27"/>
  <c r="O162" i="27"/>
  <c r="O163" i="27"/>
  <c r="O154" i="27"/>
  <c r="D34" i="116"/>
  <c r="I223" i="8" l="1"/>
  <c r="I225" i="8"/>
  <c r="L218" i="8"/>
  <c r="O218" i="8" s="1"/>
  <c r="L220" i="8"/>
  <c r="O220" i="8" s="1"/>
  <c r="L227" i="8"/>
  <c r="O227" i="8" s="1"/>
  <c r="L221" i="8"/>
  <c r="O221" i="8" s="1"/>
  <c r="I219" i="8"/>
  <c r="I229" i="8"/>
  <c r="L222" i="8"/>
  <c r="O222" i="8" s="1"/>
  <c r="L226" i="8"/>
  <c r="O226" i="8" s="1"/>
  <c r="I228" i="8"/>
  <c r="I224" i="8"/>
  <c r="V215" i="8"/>
  <c r="V230" i="8" s="1"/>
  <c r="E233" i="8" s="1"/>
  <c r="Y230" i="8"/>
  <c r="T230" i="8"/>
  <c r="E232" i="8" s="1"/>
  <c r="O224" i="8"/>
  <c r="W230" i="8"/>
  <c r="O216" i="8"/>
  <c r="O225" i="8"/>
  <c r="O229" i="8"/>
  <c r="O223" i="8"/>
  <c r="O217" i="8"/>
  <c r="O228" i="8"/>
  <c r="O219" i="8"/>
  <c r="H14" i="117"/>
  <c r="E79" i="116"/>
  <c r="F77" i="116"/>
  <c r="G77" i="116" s="1"/>
  <c r="E75" i="86"/>
  <c r="E39" i="86"/>
  <c r="H9" i="49"/>
  <c r="I230" i="8" l="1"/>
  <c r="E234" i="8"/>
  <c r="F24" i="25"/>
  <c r="S5" i="57"/>
  <c r="L21" i="25"/>
  <c r="K23" i="25"/>
  <c r="G11" i="46"/>
  <c r="E25" i="25"/>
  <c r="B4" i="52"/>
  <c r="D184" i="7" l="1"/>
  <c r="M47" i="7"/>
  <c r="N47" i="7"/>
  <c r="M48" i="7"/>
  <c r="N48" i="7"/>
  <c r="M49" i="7"/>
  <c r="N49" i="7"/>
  <c r="M50" i="7"/>
  <c r="N50" i="7"/>
  <c r="N46" i="7"/>
  <c r="M46" i="7"/>
  <c r="E73" i="85" l="1"/>
  <c r="B66" i="85"/>
  <c r="B64" i="85"/>
  <c r="B63" i="85"/>
  <c r="B62" i="85"/>
  <c r="B61" i="85"/>
  <c r="B55" i="85"/>
  <c r="B60" i="85"/>
  <c r="B54" i="85"/>
  <c r="B57" i="85"/>
  <c r="B58" i="85"/>
  <c r="X246" i="8" l="1"/>
  <c r="W246" i="8"/>
  <c r="Y246" i="8"/>
  <c r="X250" i="8"/>
  <c r="W250" i="8"/>
  <c r="Y250" i="8"/>
  <c r="Y247" i="8"/>
  <c r="W247" i="8"/>
  <c r="X247" i="8"/>
  <c r="X248" i="8"/>
  <c r="Y248" i="8"/>
  <c r="W248" i="8"/>
  <c r="Y249" i="8"/>
  <c r="W249" i="8"/>
  <c r="X249" i="8"/>
  <c r="R246" i="8"/>
  <c r="I246" i="8" s="1"/>
  <c r="R248" i="8"/>
  <c r="I248" i="8" s="1"/>
  <c r="R250" i="8"/>
  <c r="I250" i="8" s="1"/>
  <c r="R247" i="8"/>
  <c r="V247" i="8" s="1"/>
  <c r="R249" i="8"/>
  <c r="V249" i="8" s="1"/>
  <c r="V248" i="8" l="1"/>
  <c r="V246" i="8"/>
  <c r="V250" i="8"/>
  <c r="H250" i="8"/>
  <c r="T250" i="8" s="1"/>
  <c r="H248" i="8"/>
  <c r="T248" i="8" s="1"/>
  <c r="I247" i="8"/>
  <c r="I249" i="8"/>
  <c r="O247" i="8"/>
  <c r="U247" i="8" s="1"/>
  <c r="H247" i="8"/>
  <c r="T247" i="8" s="1"/>
  <c r="O250" i="8"/>
  <c r="U250" i="8" s="1"/>
  <c r="H246" i="8"/>
  <c r="T246" i="8" s="1"/>
  <c r="O246" i="8"/>
  <c r="U246" i="8" s="1"/>
  <c r="O249" i="8"/>
  <c r="U249" i="8" s="1"/>
  <c r="H249" i="8"/>
  <c r="T249" i="8" s="1"/>
  <c r="O248" i="8" l="1"/>
  <c r="U248" i="8" s="1"/>
  <c r="P155" i="8"/>
  <c r="P156" i="8"/>
  <c r="P157" i="8"/>
  <c r="P158" i="8"/>
  <c r="P159" i="8"/>
  <c r="P160" i="8"/>
  <c r="P161" i="8"/>
  <c r="P162" i="8"/>
  <c r="P163" i="8"/>
  <c r="P154" i="8"/>
  <c r="O155" i="8"/>
  <c r="O156" i="8"/>
  <c r="O157" i="8"/>
  <c r="O158" i="8"/>
  <c r="O159" i="8"/>
  <c r="O160" i="8"/>
  <c r="O161" i="8"/>
  <c r="O162" i="8"/>
  <c r="O163" i="8"/>
  <c r="O154" i="8"/>
  <c r="D165" i="8" l="1"/>
  <c r="D166" i="8" s="1"/>
  <c r="C176" i="8" s="1"/>
  <c r="G89" i="103" l="1"/>
  <c r="G163" i="103" l="1"/>
  <c r="B112" i="119" s="1"/>
  <c r="B61" i="86" l="1"/>
  <c r="G341" i="117" l="1"/>
  <c r="F341" i="117"/>
  <c r="G340" i="117"/>
  <c r="F340" i="117"/>
  <c r="G339" i="117"/>
  <c r="F339" i="117"/>
  <c r="G338" i="117"/>
  <c r="F338" i="117"/>
  <c r="G337" i="117"/>
  <c r="F337" i="117"/>
  <c r="O274" i="117"/>
  <c r="O273" i="117"/>
  <c r="O272" i="117"/>
  <c r="O271" i="117"/>
  <c r="O270" i="117"/>
  <c r="U227" i="117"/>
  <c r="T227" i="117"/>
  <c r="S227" i="117"/>
  <c r="R227" i="117"/>
  <c r="Q227" i="117"/>
  <c r="F227" i="117"/>
  <c r="J227" i="117" s="1"/>
  <c r="O227" i="117" s="1"/>
  <c r="U226" i="117"/>
  <c r="T226" i="117"/>
  <c r="S226" i="117"/>
  <c r="R226" i="117"/>
  <c r="Q226" i="117"/>
  <c r="F226" i="117"/>
  <c r="J226" i="117" s="1"/>
  <c r="O226" i="117" s="1"/>
  <c r="U225" i="117"/>
  <c r="T225" i="117"/>
  <c r="S225" i="117"/>
  <c r="R225" i="117"/>
  <c r="Q225" i="117"/>
  <c r="F225" i="117"/>
  <c r="J225" i="117" s="1"/>
  <c r="O225" i="117" s="1"/>
  <c r="U224" i="117"/>
  <c r="T224" i="117"/>
  <c r="S224" i="117"/>
  <c r="R224" i="117"/>
  <c r="Q224" i="117"/>
  <c r="F224" i="117"/>
  <c r="J224" i="117" s="1"/>
  <c r="O224" i="117" s="1"/>
  <c r="U223" i="117"/>
  <c r="T223" i="117"/>
  <c r="S223" i="117"/>
  <c r="R223" i="117"/>
  <c r="Q223" i="117"/>
  <c r="F223" i="117"/>
  <c r="J223" i="117" s="1"/>
  <c r="O223" i="117" s="1"/>
  <c r="O55" i="95"/>
  <c r="O57" i="95"/>
  <c r="O60" i="95"/>
  <c r="N70" i="95"/>
  <c r="O94" i="95"/>
  <c r="N94" i="95"/>
  <c r="G83" i="95"/>
  <c r="G82" i="95"/>
  <c r="G81" i="95"/>
  <c r="G80" i="95"/>
  <c r="G79" i="95"/>
  <c r="N58" i="95"/>
  <c r="O58" i="95" s="1"/>
  <c r="N57" i="95"/>
  <c r="N56" i="95"/>
  <c r="O56" i="95" s="1"/>
  <c r="N55" i="95"/>
  <c r="N54" i="95"/>
  <c r="O54" i="95" s="1"/>
  <c r="E57" i="92"/>
  <c r="E56" i="92"/>
  <c r="E55" i="92"/>
  <c r="E54" i="92"/>
  <c r="E53" i="92"/>
  <c r="I85" i="28"/>
  <c r="I84" i="28"/>
  <c r="I83" i="28"/>
  <c r="I82" i="28"/>
  <c r="I81" i="28"/>
  <c r="W139" i="28"/>
  <c r="X139" i="28" s="1"/>
  <c r="Q139" i="28"/>
  <c r="R139" i="28" s="1"/>
  <c r="W138" i="28"/>
  <c r="X138" i="28" s="1"/>
  <c r="Q138" i="28"/>
  <c r="R138" i="28" s="1"/>
  <c r="W137" i="28"/>
  <c r="X137" i="28" s="1"/>
  <c r="Q137" i="28"/>
  <c r="R137" i="28" s="1"/>
  <c r="W136" i="28"/>
  <c r="X136" i="28" s="1"/>
  <c r="Q136" i="28"/>
  <c r="R136" i="28" s="1"/>
  <c r="W135" i="28"/>
  <c r="X135" i="28" s="1"/>
  <c r="Q135" i="28"/>
  <c r="R135" i="28" s="1"/>
  <c r="O70" i="95" l="1"/>
  <c r="N84" i="30"/>
  <c r="N83" i="30"/>
  <c r="N82" i="30"/>
  <c r="N81" i="30"/>
  <c r="N80" i="30"/>
  <c r="J58" i="30"/>
  <c r="N58" i="30" s="1"/>
  <c r="J57" i="30"/>
  <c r="N57" i="30" s="1"/>
  <c r="J56" i="30"/>
  <c r="N56" i="30" s="1"/>
  <c r="J55" i="30"/>
  <c r="N55" i="30" s="1"/>
  <c r="J54" i="30"/>
  <c r="N54" i="30" s="1"/>
  <c r="Q110" i="8" l="1"/>
  <c r="P110" i="8"/>
  <c r="K110" i="8"/>
  <c r="Q109" i="8"/>
  <c r="P109" i="8"/>
  <c r="K109" i="8"/>
  <c r="Q108" i="8"/>
  <c r="P108" i="8"/>
  <c r="K108" i="8"/>
  <c r="Q107" i="8"/>
  <c r="P107" i="8"/>
  <c r="K107" i="8"/>
  <c r="Q106" i="8"/>
  <c r="P106" i="8"/>
  <c r="K106" i="8"/>
  <c r="P56" i="8"/>
  <c r="H56" i="8"/>
  <c r="G56" i="8"/>
  <c r="P55" i="8"/>
  <c r="H55" i="8"/>
  <c r="G55" i="8"/>
  <c r="P54" i="8"/>
  <c r="H54" i="8"/>
  <c r="G54" i="8"/>
  <c r="P53" i="8"/>
  <c r="H53" i="8"/>
  <c r="G53" i="8"/>
  <c r="P52" i="8"/>
  <c r="H52" i="8"/>
  <c r="G52" i="8"/>
  <c r="R109" i="8" l="1"/>
  <c r="R108" i="8"/>
  <c r="R107" i="8"/>
  <c r="R106" i="8"/>
  <c r="R110" i="8"/>
  <c r="X254" i="8" l="1"/>
  <c r="W254" i="8"/>
  <c r="Y254" i="8"/>
  <c r="Y253" i="8"/>
  <c r="W253" i="8"/>
  <c r="X253" i="8"/>
  <c r="X244" i="8"/>
  <c r="Y244" i="8"/>
  <c r="W244" i="8"/>
  <c r="X252" i="8"/>
  <c r="Y252" i="8"/>
  <c r="W252" i="8"/>
  <c r="Y251" i="8"/>
  <c r="W251" i="8"/>
  <c r="X251" i="8"/>
  <c r="X242" i="8"/>
  <c r="W242" i="8"/>
  <c r="Y242" i="8"/>
  <c r="Y245" i="8"/>
  <c r="W245" i="8"/>
  <c r="X245" i="8"/>
  <c r="C110" i="30"/>
  <c r="E77" i="84" l="1"/>
  <c r="C87" i="84" s="1"/>
  <c r="G13" i="84" s="1"/>
  <c r="E92" i="117"/>
  <c r="C101" i="117" s="1"/>
  <c r="E47" i="92"/>
  <c r="E48" i="92"/>
  <c r="E49" i="92"/>
  <c r="E50" i="92"/>
  <c r="E51" i="92"/>
  <c r="E52" i="92"/>
  <c r="E58" i="92"/>
  <c r="E59" i="92"/>
  <c r="E60" i="92"/>
  <c r="E61" i="92"/>
  <c r="E62" i="92"/>
  <c r="E63" i="92"/>
  <c r="E64" i="92"/>
  <c r="E65" i="92"/>
  <c r="E66" i="92"/>
  <c r="I76" i="28"/>
  <c r="I77" i="28"/>
  <c r="I78" i="28"/>
  <c r="I79" i="28"/>
  <c r="I80" i="28"/>
  <c r="I86" i="28"/>
  <c r="I87" i="28"/>
  <c r="I88" i="28"/>
  <c r="I89" i="28"/>
  <c r="I90" i="28"/>
  <c r="I91" i="28"/>
  <c r="I92" i="28"/>
  <c r="I93" i="28"/>
  <c r="I94" i="28"/>
  <c r="I95" i="28"/>
  <c r="K17" i="28"/>
  <c r="I14" i="8"/>
  <c r="H14" i="8"/>
  <c r="G76" i="103"/>
  <c r="B64" i="27" s="1"/>
  <c r="N64" i="27" s="1"/>
  <c r="G77" i="103"/>
  <c r="B65" i="27" s="1"/>
  <c r="N65" i="27" s="1"/>
  <c r="D92" i="27"/>
  <c r="C102" i="27" s="1"/>
  <c r="G13" i="27" s="1"/>
  <c r="N13" i="27" s="1"/>
  <c r="G78" i="103"/>
  <c r="B135" i="27" s="1"/>
  <c r="N135" i="27" s="1"/>
  <c r="G79" i="103"/>
  <c r="B136" i="27" s="1"/>
  <c r="N136" i="27" s="1"/>
  <c r="G80" i="103"/>
  <c r="B170" i="27" s="1"/>
  <c r="N170" i="27" s="1"/>
  <c r="G81" i="103"/>
  <c r="B171" i="27" s="1"/>
  <c r="N171" i="27" s="1"/>
  <c r="H155" i="27"/>
  <c r="H156" i="27"/>
  <c r="H157" i="27"/>
  <c r="H158" i="27"/>
  <c r="H159" i="27"/>
  <c r="H160" i="27"/>
  <c r="H161" i="27"/>
  <c r="H162" i="27"/>
  <c r="H163" i="27"/>
  <c r="B206" i="27"/>
  <c r="N206" i="27" s="1"/>
  <c r="E201" i="27"/>
  <c r="C211" i="27" s="1"/>
  <c r="G16" i="27" s="1"/>
  <c r="N16" i="27" s="1"/>
  <c r="E108" i="69"/>
  <c r="G60" i="103"/>
  <c r="B114" i="69" s="1"/>
  <c r="N114" i="69" s="1"/>
  <c r="G61" i="103"/>
  <c r="B115" i="69" s="1"/>
  <c r="N115" i="69" s="1"/>
  <c r="G62" i="103"/>
  <c r="B116" i="69" s="1"/>
  <c r="N116" i="69" s="1"/>
  <c r="G57" i="103"/>
  <c r="B123" i="61" s="1"/>
  <c r="M123" i="61" s="1"/>
  <c r="E117" i="61"/>
  <c r="E410" i="8"/>
  <c r="P457" i="8" s="1"/>
  <c r="E427" i="8"/>
  <c r="F435" i="8"/>
  <c r="F437" i="8"/>
  <c r="F438" i="8"/>
  <c r="F439" i="8"/>
  <c r="F440" i="8"/>
  <c r="F441" i="8"/>
  <c r="F442" i="8"/>
  <c r="F443" i="8"/>
  <c r="F444" i="8"/>
  <c r="F445" i="8"/>
  <c r="F446" i="8"/>
  <c r="F447" i="8"/>
  <c r="F448" i="8"/>
  <c r="F449" i="8"/>
  <c r="G44" i="8"/>
  <c r="G45" i="8"/>
  <c r="G46" i="8"/>
  <c r="G47" i="8"/>
  <c r="G48" i="8"/>
  <c r="G49" i="8"/>
  <c r="G50" i="8"/>
  <c r="G51" i="8"/>
  <c r="G57" i="8"/>
  <c r="G58" i="8"/>
  <c r="G59" i="8"/>
  <c r="G60" i="8"/>
  <c r="G61" i="8"/>
  <c r="G62" i="8"/>
  <c r="G63" i="8"/>
  <c r="P44" i="8"/>
  <c r="M31" i="51"/>
  <c r="M32" i="51"/>
  <c r="M33" i="51"/>
  <c r="M34" i="51"/>
  <c r="E46" i="51" s="1"/>
  <c r="C56" i="51" s="1"/>
  <c r="G12" i="51" s="1"/>
  <c r="M35" i="51"/>
  <c r="M36" i="51"/>
  <c r="L31" i="51"/>
  <c r="L32" i="51"/>
  <c r="L33" i="51"/>
  <c r="L34" i="51"/>
  <c r="L35" i="51"/>
  <c r="L36" i="51"/>
  <c r="C397" i="117"/>
  <c r="D397" i="117"/>
  <c r="E397" i="117"/>
  <c r="F397" i="117"/>
  <c r="G397" i="117"/>
  <c r="M174" i="92"/>
  <c r="G94" i="103"/>
  <c r="B173" i="92" s="1"/>
  <c r="M173" i="92" s="1"/>
  <c r="J106" i="92"/>
  <c r="G137" i="103"/>
  <c r="B36" i="98" s="1"/>
  <c r="N36" i="98" s="1"/>
  <c r="G138" i="103"/>
  <c r="B37" i="98" s="1"/>
  <c r="N37" i="98" s="1"/>
  <c r="G139" i="103"/>
  <c r="B38" i="98" s="1"/>
  <c r="N38" i="98" s="1"/>
  <c r="N22" i="98"/>
  <c r="N23" i="98"/>
  <c r="E31" i="98"/>
  <c r="C42" i="98"/>
  <c r="N24" i="98"/>
  <c r="N25" i="98"/>
  <c r="N26" i="98"/>
  <c r="N27" i="98"/>
  <c r="N28" i="98"/>
  <c r="N29" i="98"/>
  <c r="M104" i="95"/>
  <c r="M103" i="95"/>
  <c r="M107" i="95"/>
  <c r="G75" i="95"/>
  <c r="G76" i="95"/>
  <c r="G77" i="95"/>
  <c r="G78" i="95"/>
  <c r="G84" i="95"/>
  <c r="G85" i="95"/>
  <c r="E98" i="95" s="1"/>
  <c r="C112" i="95" s="1"/>
  <c r="G86" i="95"/>
  <c r="G87" i="95"/>
  <c r="G88" i="95"/>
  <c r="G89" i="95"/>
  <c r="G90" i="95"/>
  <c r="G91" i="95"/>
  <c r="G92" i="95"/>
  <c r="G93" i="95"/>
  <c r="G94" i="95"/>
  <c r="N49" i="95"/>
  <c r="O49" i="95"/>
  <c r="N50" i="95"/>
  <c r="O50" i="95"/>
  <c r="N51" i="95"/>
  <c r="O51" i="95"/>
  <c r="N52" i="95"/>
  <c r="O52" i="95"/>
  <c r="N53" i="95"/>
  <c r="O53" i="95"/>
  <c r="N59" i="95"/>
  <c r="O59" i="95"/>
  <c r="N60" i="95"/>
  <c r="N61" i="95"/>
  <c r="O61" i="95"/>
  <c r="N62" i="95"/>
  <c r="O62" i="95"/>
  <c r="N63" i="95"/>
  <c r="O63" i="95"/>
  <c r="N64" i="95"/>
  <c r="O64" i="95"/>
  <c r="N65" i="95"/>
  <c r="O65" i="95"/>
  <c r="N66" i="95"/>
  <c r="O66" i="95"/>
  <c r="N67" i="95"/>
  <c r="O67" i="95"/>
  <c r="N68" i="95"/>
  <c r="O68" i="95"/>
  <c r="G30" i="103"/>
  <c r="B162" i="7" s="1"/>
  <c r="M162" i="7" s="1"/>
  <c r="G31" i="103"/>
  <c r="B163" i="7" s="1"/>
  <c r="M163" i="7" s="1"/>
  <c r="F217" i="117"/>
  <c r="J217" i="117" s="1"/>
  <c r="O217" i="117" s="1"/>
  <c r="F218" i="117"/>
  <c r="J218" i="117" s="1"/>
  <c r="O218" i="117" s="1"/>
  <c r="F219" i="117"/>
  <c r="J219" i="117"/>
  <c r="O219" i="117" s="1"/>
  <c r="F220" i="117"/>
  <c r="J220" i="117" s="1"/>
  <c r="O220" i="117" s="1"/>
  <c r="F221" i="117"/>
  <c r="J221" i="117" s="1"/>
  <c r="O221" i="117" s="1"/>
  <c r="F222" i="117"/>
  <c r="J222" i="117" s="1"/>
  <c r="O222" i="117" s="1"/>
  <c r="F228" i="117"/>
  <c r="J228" i="117" s="1"/>
  <c r="O228" i="117" s="1"/>
  <c r="F229" i="117"/>
  <c r="J229" i="117" s="1"/>
  <c r="O229" i="117" s="1"/>
  <c r="F230" i="117"/>
  <c r="J230" i="117" s="1"/>
  <c r="O230" i="117" s="1"/>
  <c r="F231" i="117"/>
  <c r="J231" i="117" s="1"/>
  <c r="O231" i="117" s="1"/>
  <c r="F232" i="117"/>
  <c r="J232" i="117" s="1"/>
  <c r="O232" i="117" s="1"/>
  <c r="F233" i="117"/>
  <c r="J233" i="117" s="1"/>
  <c r="O233" i="117" s="1"/>
  <c r="F234" i="117"/>
  <c r="J234" i="117" s="1"/>
  <c r="O234" i="117" s="1"/>
  <c r="F235" i="117"/>
  <c r="J235" i="117" s="1"/>
  <c r="O235" i="117" s="1"/>
  <c r="L23" i="71"/>
  <c r="L24" i="71"/>
  <c r="L25" i="71"/>
  <c r="L26" i="71"/>
  <c r="L23" i="72"/>
  <c r="L28" i="72"/>
  <c r="L33" i="72"/>
  <c r="L38" i="72"/>
  <c r="B88" i="116"/>
  <c r="M88" i="116" s="1"/>
  <c r="B87" i="116"/>
  <c r="M87" i="116" s="1"/>
  <c r="B84" i="116"/>
  <c r="M84" i="116" s="1"/>
  <c r="B39" i="116"/>
  <c r="M39" i="116" s="1"/>
  <c r="G136" i="103"/>
  <c r="B155" i="83" s="1"/>
  <c r="O155" i="83" s="1"/>
  <c r="G135" i="103"/>
  <c r="B154" i="83" s="1"/>
  <c r="O154" i="83" s="1"/>
  <c r="O48" i="83"/>
  <c r="G132" i="103"/>
  <c r="B50" i="83" s="1"/>
  <c r="O50" i="83" s="1"/>
  <c r="G131" i="103"/>
  <c r="B49" i="83" s="1"/>
  <c r="O49" i="83" s="1"/>
  <c r="C43" i="83"/>
  <c r="C54" i="83"/>
  <c r="D31" i="85"/>
  <c r="C41" i="85" s="1"/>
  <c r="G12" i="85" s="1"/>
  <c r="E179" i="19"/>
  <c r="B105" i="87"/>
  <c r="B103" i="87"/>
  <c r="B67" i="87"/>
  <c r="B30" i="87"/>
  <c r="G38" i="51"/>
  <c r="F30" i="51"/>
  <c r="B74" i="36"/>
  <c r="B91" i="21"/>
  <c r="B90" i="117"/>
  <c r="B89" i="117"/>
  <c r="B62" i="117"/>
  <c r="E25" i="85"/>
  <c r="B66" i="83"/>
  <c r="B13" i="19"/>
  <c r="E333" i="19"/>
  <c r="C333" i="19"/>
  <c r="B331" i="19"/>
  <c r="C179" i="19"/>
  <c r="B177" i="19"/>
  <c r="B50" i="97"/>
  <c r="G113" i="103"/>
  <c r="B359" i="117" s="1"/>
  <c r="N359" i="117" s="1"/>
  <c r="G112" i="103"/>
  <c r="B358" i="117" s="1"/>
  <c r="N358" i="117" s="1"/>
  <c r="G114" i="103"/>
  <c r="B418" i="117" s="1"/>
  <c r="N418" i="117" s="1"/>
  <c r="G115" i="103"/>
  <c r="B419" i="117" s="1"/>
  <c r="N419" i="117" s="1"/>
  <c r="H121" i="19"/>
  <c r="G121" i="19"/>
  <c r="F49" i="84"/>
  <c r="B26" i="84"/>
  <c r="B41" i="83"/>
  <c r="B40" i="83"/>
  <c r="B39" i="83"/>
  <c r="B37" i="83"/>
  <c r="I27" i="104"/>
  <c r="I2" i="104"/>
  <c r="B5" i="50"/>
  <c r="B29" i="53"/>
  <c r="B27" i="53"/>
  <c r="O341" i="8"/>
  <c r="O342" i="8"/>
  <c r="O343" i="8"/>
  <c r="O344" i="8"/>
  <c r="O345" i="8"/>
  <c r="O346" i="8"/>
  <c r="O347" i="8"/>
  <c r="O348" i="8"/>
  <c r="O349" i="8"/>
  <c r="O350" i="8"/>
  <c r="G21" i="103"/>
  <c r="B460" i="8" s="1"/>
  <c r="O460" i="8" s="1"/>
  <c r="G22" i="103"/>
  <c r="B461" i="8" s="1"/>
  <c r="O461" i="8" s="1"/>
  <c r="G23" i="103"/>
  <c r="B464" i="8" s="1"/>
  <c r="O464" i="8" s="1"/>
  <c r="G24" i="103"/>
  <c r="B465" i="8" s="1"/>
  <c r="O465" i="8" s="1"/>
  <c r="G27" i="103"/>
  <c r="B104" i="7" s="1"/>
  <c r="M104" i="7" s="1"/>
  <c r="G28" i="103"/>
  <c r="B105" i="7" s="1"/>
  <c r="M105" i="7" s="1"/>
  <c r="G29" i="103"/>
  <c r="B106" i="7" s="1"/>
  <c r="M106" i="7" s="1"/>
  <c r="M108" i="95"/>
  <c r="G92" i="103"/>
  <c r="B75" i="92" s="1"/>
  <c r="M75" i="92" s="1"/>
  <c r="M105" i="30"/>
  <c r="G74" i="103"/>
  <c r="B105" i="30" s="1"/>
  <c r="B29" i="86"/>
  <c r="B31" i="86"/>
  <c r="B59" i="86"/>
  <c r="B69" i="86"/>
  <c r="B98" i="119"/>
  <c r="B97" i="119"/>
  <c r="B94" i="119"/>
  <c r="B52" i="119"/>
  <c r="B25" i="119"/>
  <c r="B24" i="119"/>
  <c r="B64" i="21"/>
  <c r="B63" i="21"/>
  <c r="B27" i="21"/>
  <c r="B26" i="21"/>
  <c r="B25" i="21"/>
  <c r="B48" i="97"/>
  <c r="L30" i="36"/>
  <c r="L31" i="36"/>
  <c r="M31" i="36" s="1"/>
  <c r="L35" i="36"/>
  <c r="M36" i="36" s="1"/>
  <c r="L36" i="36"/>
  <c r="L40" i="36"/>
  <c r="L41" i="36"/>
  <c r="L45" i="36"/>
  <c r="L46" i="36"/>
  <c r="L50" i="36"/>
  <c r="L51" i="36"/>
  <c r="G166" i="103"/>
  <c r="B56" i="72" s="1"/>
  <c r="L56" i="72" s="1"/>
  <c r="G165" i="103"/>
  <c r="B43" i="72" s="1"/>
  <c r="L43" i="72" s="1"/>
  <c r="G164" i="103"/>
  <c r="M112" i="119" s="1"/>
  <c r="G162" i="103"/>
  <c r="B111" i="119" s="1"/>
  <c r="M111" i="119" s="1"/>
  <c r="G161" i="103"/>
  <c r="B69" i="119" s="1"/>
  <c r="M69" i="119" s="1"/>
  <c r="G160" i="103"/>
  <c r="B68" i="119" s="1"/>
  <c r="M68" i="119" s="1"/>
  <c r="G159" i="103"/>
  <c r="B37" i="119" s="1"/>
  <c r="M37" i="119" s="1"/>
  <c r="G158" i="103"/>
  <c r="B36" i="119" s="1"/>
  <c r="M36" i="119" s="1"/>
  <c r="G157" i="103"/>
  <c r="G156" i="103"/>
  <c r="B116" i="87" s="1"/>
  <c r="L116" i="87" s="1"/>
  <c r="C121" i="87" s="1"/>
  <c r="H14" i="87" s="1"/>
  <c r="G155" i="103"/>
  <c r="B84" i="87" s="1"/>
  <c r="L84" i="87" s="1"/>
  <c r="G154" i="103"/>
  <c r="B83" i="87" s="1"/>
  <c r="L83" i="87" s="1"/>
  <c r="G153" i="103"/>
  <c r="G152" i="103"/>
  <c r="B48" i="87" s="1"/>
  <c r="L48" i="87" s="1"/>
  <c r="C53" i="87" s="1"/>
  <c r="H12" i="87" s="1"/>
  <c r="G151" i="103"/>
  <c r="G150" i="103"/>
  <c r="B44" i="86" s="1"/>
  <c r="L44" i="86" s="1"/>
  <c r="G149" i="103"/>
  <c r="B52" i="51" s="1"/>
  <c r="L52" i="51" s="1"/>
  <c r="G148" i="103"/>
  <c r="B51" i="51" s="1"/>
  <c r="L51" i="51" s="1"/>
  <c r="G147" i="103"/>
  <c r="B163" i="36" s="1"/>
  <c r="L163" i="36" s="1"/>
  <c r="G146" i="103"/>
  <c r="B162" i="36" s="1"/>
  <c r="L162" i="36" s="1"/>
  <c r="G145" i="103"/>
  <c r="G144" i="103"/>
  <c r="G143" i="103"/>
  <c r="G142" i="103"/>
  <c r="B83" i="36" s="1"/>
  <c r="L83" i="36" s="1"/>
  <c r="C88" i="36" s="1"/>
  <c r="H13" i="36" s="1"/>
  <c r="G141" i="103"/>
  <c r="B59" i="36" s="1"/>
  <c r="L59" i="36" s="1"/>
  <c r="G140" i="103"/>
  <c r="B58" i="36" s="1"/>
  <c r="L58" i="36" s="1"/>
  <c r="G129" i="103"/>
  <c r="G128" i="103"/>
  <c r="B100" i="21" s="1"/>
  <c r="N100" i="21" s="1"/>
  <c r="C105" i="21" s="1"/>
  <c r="H14" i="21" s="1"/>
  <c r="G127" i="103"/>
  <c r="B73" i="21" s="1"/>
  <c r="N73" i="21" s="1"/>
  <c r="G126" i="103"/>
  <c r="B72" i="21" s="1"/>
  <c r="N72" i="21" s="1"/>
  <c r="C78" i="21" s="1"/>
  <c r="G125" i="103"/>
  <c r="B35" i="21" s="1"/>
  <c r="N35" i="21" s="1"/>
  <c r="G124" i="103"/>
  <c r="B34" i="21" s="1"/>
  <c r="N34" i="21" s="1"/>
  <c r="G123" i="103"/>
  <c r="G122" i="103"/>
  <c r="G121" i="103"/>
  <c r="B61" i="97" s="1"/>
  <c r="N61" i="97" s="1"/>
  <c r="C66" i="97" s="1"/>
  <c r="G120" i="103"/>
  <c r="B31" i="97" s="1"/>
  <c r="N31" i="97" s="1"/>
  <c r="C36" i="97" s="1"/>
  <c r="G119" i="103"/>
  <c r="G118" i="103"/>
  <c r="B38" i="93" s="1"/>
  <c r="N38" i="93" s="1"/>
  <c r="G117" i="103"/>
  <c r="G116" i="103"/>
  <c r="G111" i="103"/>
  <c r="G110" i="103"/>
  <c r="B289" i="117" s="1"/>
  <c r="N289" i="117" s="1"/>
  <c r="G109" i="103"/>
  <c r="B243" i="117" s="1"/>
  <c r="N243" i="117" s="1"/>
  <c r="G108" i="103"/>
  <c r="B242" i="117" s="1"/>
  <c r="N242" i="117" s="1"/>
  <c r="G103" i="103"/>
  <c r="G102" i="103"/>
  <c r="B97" i="117" s="1"/>
  <c r="N97" i="117" s="1"/>
  <c r="G101" i="103"/>
  <c r="B71" i="117" s="1"/>
  <c r="N71" i="117" s="1"/>
  <c r="G100" i="103"/>
  <c r="B70" i="117" s="1"/>
  <c r="N70" i="117" s="1"/>
  <c r="G105" i="103"/>
  <c r="B139" i="117" s="1"/>
  <c r="N139" i="117" s="1"/>
  <c r="G104" i="103"/>
  <c r="B138" i="117" s="1"/>
  <c r="N138" i="117" s="1"/>
  <c r="G99" i="103"/>
  <c r="B108" i="95" s="1"/>
  <c r="G98" i="103"/>
  <c r="B107" i="95" s="1"/>
  <c r="G97" i="103"/>
  <c r="B104" i="95" s="1"/>
  <c r="G96" i="103"/>
  <c r="B103" i="95" s="1"/>
  <c r="G95" i="103"/>
  <c r="G93" i="103"/>
  <c r="B76" i="92" s="1"/>
  <c r="M76" i="92" s="1"/>
  <c r="G91" i="103"/>
  <c r="B74" i="92" s="1"/>
  <c r="M74" i="92" s="1"/>
  <c r="G90" i="103"/>
  <c r="B156" i="28" s="1"/>
  <c r="U156" i="28" s="1"/>
  <c r="G88" i="103"/>
  <c r="B155" i="28" s="1"/>
  <c r="U155" i="28" s="1"/>
  <c r="G87" i="103"/>
  <c r="G86" i="103"/>
  <c r="B103" i="28" s="1"/>
  <c r="G85" i="103"/>
  <c r="B45" i="91" s="1"/>
  <c r="M45" i="91" s="1"/>
  <c r="G84" i="103"/>
  <c r="B44" i="91" s="1"/>
  <c r="M44" i="91" s="1"/>
  <c r="G83" i="103"/>
  <c r="B47" i="90" s="1"/>
  <c r="M47" i="90" s="1"/>
  <c r="G82" i="103"/>
  <c r="B46" i="90" s="1"/>
  <c r="M46" i="90" s="1"/>
  <c r="G75" i="103"/>
  <c r="B106" i="30" s="1"/>
  <c r="G73" i="103"/>
  <c r="B104" i="30" s="1"/>
  <c r="G72" i="103"/>
  <c r="B101" i="30" s="1"/>
  <c r="G71" i="103"/>
  <c r="B100" i="30" s="1"/>
  <c r="G70" i="103"/>
  <c r="B79" i="85" s="1"/>
  <c r="L79" i="85" s="1"/>
  <c r="G69" i="103"/>
  <c r="B78" i="85" s="1"/>
  <c r="L78" i="85" s="1"/>
  <c r="G68" i="103"/>
  <c r="B37" i="85" s="1"/>
  <c r="L37" i="85" s="1"/>
  <c r="G67" i="103"/>
  <c r="B36" i="85" s="1"/>
  <c r="L36" i="85" s="1"/>
  <c r="G66" i="103"/>
  <c r="B83" i="84" s="1"/>
  <c r="L83" i="84" s="1"/>
  <c r="G65" i="103"/>
  <c r="B82" i="84" s="1"/>
  <c r="L82" i="84" s="1"/>
  <c r="G64" i="103"/>
  <c r="B55" i="84" s="1"/>
  <c r="L55" i="84" s="1"/>
  <c r="G63" i="103"/>
  <c r="B54" i="84" s="1"/>
  <c r="L54" i="84" s="1"/>
  <c r="G134" i="103"/>
  <c r="B106" i="83" s="1"/>
  <c r="O106" i="83" s="1"/>
  <c r="G133" i="103"/>
  <c r="B105" i="83" s="1"/>
  <c r="O105" i="83" s="1"/>
  <c r="G130" i="103"/>
  <c r="B48" i="83" s="1"/>
  <c r="G59" i="103"/>
  <c r="B125" i="61" s="1"/>
  <c r="M125" i="61" s="1"/>
  <c r="G58" i="103"/>
  <c r="B124" i="61" s="1"/>
  <c r="M124" i="61" s="1"/>
  <c r="G56" i="103"/>
  <c r="B41" i="53" s="1"/>
  <c r="L41" i="53" s="1"/>
  <c r="G55" i="103"/>
  <c r="B40" i="53" s="1"/>
  <c r="L40" i="53" s="1"/>
  <c r="G54" i="103"/>
  <c r="B399" i="19" s="1"/>
  <c r="L399" i="19" s="1"/>
  <c r="G53" i="103"/>
  <c r="B398" i="19" s="1"/>
  <c r="L398" i="19" s="1"/>
  <c r="G52" i="103"/>
  <c r="B192" i="19" s="1"/>
  <c r="L192" i="19" s="1"/>
  <c r="G51" i="103"/>
  <c r="B191" i="19" s="1"/>
  <c r="L191" i="19" s="1"/>
  <c r="G50" i="103"/>
  <c r="B312" i="19" s="1"/>
  <c r="L312" i="19" s="1"/>
  <c r="G49" i="103"/>
  <c r="B311" i="19" s="1"/>
  <c r="L311" i="19" s="1"/>
  <c r="G48" i="103"/>
  <c r="B156" i="19" s="1"/>
  <c r="L156" i="19" s="1"/>
  <c r="G47" i="103"/>
  <c r="B91" i="19" s="1"/>
  <c r="L91" i="19" s="1"/>
  <c r="G46" i="103"/>
  <c r="B90" i="19" s="1"/>
  <c r="L90" i="19" s="1"/>
  <c r="G45" i="103"/>
  <c r="G44" i="103"/>
  <c r="G43" i="103"/>
  <c r="G42" i="103"/>
  <c r="G41" i="103"/>
  <c r="G40" i="103"/>
  <c r="B36" i="37" s="1"/>
  <c r="G39" i="103"/>
  <c r="B35" i="37" s="1"/>
  <c r="M35" i="37" s="1"/>
  <c r="C41" i="37" s="1"/>
  <c r="H12" i="37" s="1"/>
  <c r="G38" i="103"/>
  <c r="B110" i="18" s="1"/>
  <c r="M110" i="18" s="1"/>
  <c r="G37" i="103"/>
  <c r="B109" i="18" s="1"/>
  <c r="M109" i="18" s="1"/>
  <c r="G36" i="103"/>
  <c r="B67" i="18" s="1"/>
  <c r="M67" i="18" s="1"/>
  <c r="G35" i="103"/>
  <c r="B66" i="18" s="1"/>
  <c r="M66" i="18" s="1"/>
  <c r="G34" i="103"/>
  <c r="B205" i="7" s="1"/>
  <c r="M205" i="7" s="1"/>
  <c r="G33" i="103"/>
  <c r="B204" i="7" s="1"/>
  <c r="M204" i="7" s="1"/>
  <c r="G26" i="103"/>
  <c r="G25" i="103"/>
  <c r="G20" i="103"/>
  <c r="B457" i="8" s="1"/>
  <c r="O457" i="8" s="1"/>
  <c r="G19" i="103"/>
  <c r="B456" i="8" s="1"/>
  <c r="O456" i="8" s="1"/>
  <c r="G18" i="103"/>
  <c r="B391" i="8" s="1"/>
  <c r="O391" i="8" s="1"/>
  <c r="G17" i="103"/>
  <c r="B390" i="8" s="1"/>
  <c r="O390" i="8" s="1"/>
  <c r="G16" i="103"/>
  <c r="B387" i="8" s="1"/>
  <c r="O387" i="8" s="1"/>
  <c r="G15" i="103"/>
  <c r="B386" i="8" s="1"/>
  <c r="O386" i="8" s="1"/>
  <c r="G14" i="103"/>
  <c r="B385" i="8" s="1"/>
  <c r="O385" i="8" s="1"/>
  <c r="G13" i="103"/>
  <c r="B321" i="8" s="1"/>
  <c r="O321" i="8" s="1"/>
  <c r="G12" i="103"/>
  <c r="B320" i="8" s="1"/>
  <c r="O320" i="8" s="1"/>
  <c r="G11" i="103"/>
  <c r="B273" i="8" s="1"/>
  <c r="O273" i="8" s="1"/>
  <c r="G10" i="103"/>
  <c r="B272" i="8" s="1"/>
  <c r="O272" i="8" s="1"/>
  <c r="G9" i="103"/>
  <c r="B271" i="8" s="1"/>
  <c r="O271" i="8" s="1"/>
  <c r="G8" i="103"/>
  <c r="B172" i="8" s="1"/>
  <c r="O172" i="8" s="1"/>
  <c r="G7" i="103"/>
  <c r="B171" i="8" s="1"/>
  <c r="O171" i="8" s="1"/>
  <c r="G6" i="103"/>
  <c r="B129" i="8" s="1"/>
  <c r="O129" i="8" s="1"/>
  <c r="G5" i="103"/>
  <c r="B128" i="8" s="1"/>
  <c r="O128" i="8" s="1"/>
  <c r="G4" i="103"/>
  <c r="B71" i="8" s="1"/>
  <c r="G3" i="103"/>
  <c r="G2" i="103"/>
  <c r="B70" i="8" s="1"/>
  <c r="I391" i="19"/>
  <c r="G391" i="19"/>
  <c r="F391" i="19"/>
  <c r="I390" i="19"/>
  <c r="G390" i="19"/>
  <c r="F390" i="19"/>
  <c r="I389" i="19"/>
  <c r="G389" i="19"/>
  <c r="F389" i="19"/>
  <c r="I388" i="19"/>
  <c r="G388" i="19"/>
  <c r="F388" i="19"/>
  <c r="I387" i="19"/>
  <c r="G387" i="19"/>
  <c r="F387" i="19"/>
  <c r="I386" i="19"/>
  <c r="G386" i="19"/>
  <c r="F386" i="19"/>
  <c r="I385" i="19"/>
  <c r="G385" i="19"/>
  <c r="F385" i="19"/>
  <c r="G384" i="19"/>
  <c r="F384" i="19"/>
  <c r="I384" i="19"/>
  <c r="E393" i="19"/>
  <c r="C403" i="19"/>
  <c r="I231" i="19"/>
  <c r="I232" i="19"/>
  <c r="I233" i="19"/>
  <c r="I234" i="19"/>
  <c r="I235" i="19"/>
  <c r="I236" i="19"/>
  <c r="I237" i="19"/>
  <c r="G230" i="19"/>
  <c r="D199" i="7"/>
  <c r="C209" i="7" s="1"/>
  <c r="P102" i="8"/>
  <c r="Q102" i="8"/>
  <c r="D106" i="119"/>
  <c r="G11" i="50"/>
  <c r="D29" i="21"/>
  <c r="C39" i="21"/>
  <c r="G12" i="21"/>
  <c r="E67" i="21"/>
  <c r="N55" i="21"/>
  <c r="E59" i="21"/>
  <c r="C77" i="21"/>
  <c r="G13" i="21"/>
  <c r="N56" i="21"/>
  <c r="N57" i="21"/>
  <c r="E95" i="21"/>
  <c r="C104" i="21"/>
  <c r="G14" i="21"/>
  <c r="C295" i="117"/>
  <c r="C364" i="117"/>
  <c r="O290" i="117"/>
  <c r="N122" i="117"/>
  <c r="M17" i="28"/>
  <c r="K32" i="25"/>
  <c r="S10" i="57" s="1"/>
  <c r="S9" i="57"/>
  <c r="K14" i="25"/>
  <c r="S8" i="57" s="1"/>
  <c r="E11" i="25"/>
  <c r="N8" i="57"/>
  <c r="O9" i="57"/>
  <c r="C43" i="116"/>
  <c r="G11" i="116" s="1"/>
  <c r="E61" i="116"/>
  <c r="C92" i="116"/>
  <c r="G12" i="116" s="1"/>
  <c r="H45" i="8"/>
  <c r="H46" i="8"/>
  <c r="H47" i="8"/>
  <c r="H48" i="8"/>
  <c r="H49" i="8"/>
  <c r="H50" i="8"/>
  <c r="H51" i="8"/>
  <c r="H57" i="8"/>
  <c r="H58" i="8"/>
  <c r="H59" i="8"/>
  <c r="H60" i="8"/>
  <c r="H61" i="8"/>
  <c r="H62" i="8"/>
  <c r="H63" i="8"/>
  <c r="C48" i="86"/>
  <c r="G12" i="86" s="1"/>
  <c r="C84" i="86"/>
  <c r="G13" i="86" s="1"/>
  <c r="L13" i="86" s="1"/>
  <c r="E43" i="87"/>
  <c r="C52" i="87"/>
  <c r="G12" i="87"/>
  <c r="E78" i="87"/>
  <c r="C88" i="87"/>
  <c r="E111" i="87"/>
  <c r="C120" i="87"/>
  <c r="D31" i="119"/>
  <c r="C41" i="119"/>
  <c r="D63" i="119"/>
  <c r="F40" i="18"/>
  <c r="F41" i="18"/>
  <c r="F42" i="18"/>
  <c r="F43" i="18"/>
  <c r="F44" i="18"/>
  <c r="F45" i="18"/>
  <c r="F46" i="18"/>
  <c r="F47" i="18"/>
  <c r="F48" i="18"/>
  <c r="F49" i="18"/>
  <c r="F50" i="18"/>
  <c r="F51" i="18"/>
  <c r="F52" i="18"/>
  <c r="F53" i="18"/>
  <c r="F54" i="18"/>
  <c r="F55" i="18"/>
  <c r="F56" i="18"/>
  <c r="F57" i="18"/>
  <c r="F58" i="18"/>
  <c r="F59" i="18"/>
  <c r="O8" i="57"/>
  <c r="O7" i="57"/>
  <c r="O6" i="57"/>
  <c r="K103" i="8"/>
  <c r="K104" i="8"/>
  <c r="K105" i="8"/>
  <c r="K111" i="8"/>
  <c r="K112" i="8"/>
  <c r="K113" i="8"/>
  <c r="K114" i="8"/>
  <c r="K115" i="8"/>
  <c r="K116" i="8"/>
  <c r="K117" i="8"/>
  <c r="K118" i="8"/>
  <c r="K119" i="8"/>
  <c r="K120" i="8"/>
  <c r="K121" i="8"/>
  <c r="K102" i="8"/>
  <c r="H44" i="8"/>
  <c r="G11" i="119"/>
  <c r="C97" i="117"/>
  <c r="D65" i="117"/>
  <c r="E57" i="117"/>
  <c r="N131" i="117"/>
  <c r="N130" i="117"/>
  <c r="N129" i="117"/>
  <c r="N128" i="117"/>
  <c r="N127" i="117"/>
  <c r="N126" i="117"/>
  <c r="N125" i="117"/>
  <c r="N124" i="117"/>
  <c r="N123" i="117"/>
  <c r="N411" i="117"/>
  <c r="N410" i="117"/>
  <c r="N409" i="117"/>
  <c r="N408" i="117"/>
  <c r="N407" i="117"/>
  <c r="H396" i="117"/>
  <c r="O396" i="117" s="1"/>
  <c r="H394" i="117"/>
  <c r="O394" i="117" s="1"/>
  <c r="H393" i="117"/>
  <c r="O393" i="117" s="1"/>
  <c r="H391" i="117"/>
  <c r="O391" i="117" s="1"/>
  <c r="H390" i="117"/>
  <c r="O390" i="117" s="1"/>
  <c r="H389" i="117"/>
  <c r="O389" i="117" s="1"/>
  <c r="H387" i="117"/>
  <c r="O387" i="117" s="1"/>
  <c r="H386" i="117"/>
  <c r="O386" i="117" s="1"/>
  <c r="H384" i="117"/>
  <c r="O384" i="117" s="1"/>
  <c r="H383" i="117"/>
  <c r="O383" i="117" s="1"/>
  <c r="H382" i="117"/>
  <c r="O382" i="117" s="1"/>
  <c r="M11" i="119"/>
  <c r="U321" i="117"/>
  <c r="U319" i="117"/>
  <c r="U318" i="117"/>
  <c r="U316" i="117"/>
  <c r="U315" i="117"/>
  <c r="P314" i="117"/>
  <c r="U313" i="117"/>
  <c r="P313" i="117"/>
  <c r="P312" i="117"/>
  <c r="U311" i="117"/>
  <c r="P311" i="117"/>
  <c r="P310" i="117"/>
  <c r="P309" i="117"/>
  <c r="U308" i="117"/>
  <c r="P308" i="117"/>
  <c r="P307" i="117"/>
  <c r="U306" i="117"/>
  <c r="P306" i="117"/>
  <c r="U305" i="117"/>
  <c r="P305" i="117"/>
  <c r="G351" i="117"/>
  <c r="F351" i="117"/>
  <c r="G350" i="117"/>
  <c r="F350" i="117"/>
  <c r="G349" i="117"/>
  <c r="F349" i="117"/>
  <c r="G348" i="117"/>
  <c r="F348" i="117"/>
  <c r="G347" i="117"/>
  <c r="F347" i="117"/>
  <c r="G346" i="117"/>
  <c r="F346" i="117"/>
  <c r="G345" i="117"/>
  <c r="F345" i="117"/>
  <c r="G344" i="117"/>
  <c r="F344" i="117"/>
  <c r="G343" i="117"/>
  <c r="F343" i="117"/>
  <c r="G342" i="117"/>
  <c r="F342" i="117"/>
  <c r="G336" i="117"/>
  <c r="F336" i="117"/>
  <c r="G335" i="117"/>
  <c r="F335" i="117"/>
  <c r="G334" i="117"/>
  <c r="F334" i="117"/>
  <c r="G333" i="117"/>
  <c r="F333" i="117"/>
  <c r="G332" i="117"/>
  <c r="F332" i="117"/>
  <c r="C363" i="117"/>
  <c r="C294" i="117"/>
  <c r="H19" i="117"/>
  <c r="N19" i="117" s="1"/>
  <c r="O283" i="117"/>
  <c r="O282" i="117"/>
  <c r="O281" i="117"/>
  <c r="O280" i="117"/>
  <c r="O279" i="117"/>
  <c r="O278" i="117"/>
  <c r="O277" i="117"/>
  <c r="O276" i="117"/>
  <c r="O275" i="117"/>
  <c r="O269" i="117"/>
  <c r="O268" i="117"/>
  <c r="O267" i="117"/>
  <c r="O266" i="117"/>
  <c r="O265" i="117"/>
  <c r="O264" i="117"/>
  <c r="O263" i="117"/>
  <c r="U235" i="117"/>
  <c r="T235" i="117"/>
  <c r="S235" i="117"/>
  <c r="R235" i="117"/>
  <c r="Q235" i="117"/>
  <c r="U234" i="117"/>
  <c r="T234" i="117"/>
  <c r="S234" i="117"/>
  <c r="R234" i="117"/>
  <c r="Q234" i="117"/>
  <c r="U233" i="117"/>
  <c r="T233" i="117"/>
  <c r="S233" i="117"/>
  <c r="R233" i="117"/>
  <c r="Q233" i="117"/>
  <c r="U232" i="117"/>
  <c r="T232" i="117"/>
  <c r="S232" i="117"/>
  <c r="R232" i="117"/>
  <c r="Q232" i="117"/>
  <c r="U231" i="117"/>
  <c r="T231" i="117"/>
  <c r="S231" i="117"/>
  <c r="R231" i="117"/>
  <c r="Q231" i="117"/>
  <c r="U230" i="117"/>
  <c r="T230" i="117"/>
  <c r="S230" i="117"/>
  <c r="R230" i="117"/>
  <c r="Q230" i="117"/>
  <c r="U229" i="117"/>
  <c r="T229" i="117"/>
  <c r="S229" i="117"/>
  <c r="R229" i="117"/>
  <c r="Q229" i="117"/>
  <c r="U228" i="117"/>
  <c r="T228" i="117"/>
  <c r="S228" i="117"/>
  <c r="R228" i="117"/>
  <c r="Q228" i="117"/>
  <c r="U222" i="117"/>
  <c r="T222" i="117"/>
  <c r="S222" i="117"/>
  <c r="R222" i="117"/>
  <c r="Q222" i="117"/>
  <c r="U221" i="117"/>
  <c r="T221" i="117"/>
  <c r="S221" i="117"/>
  <c r="R221" i="117"/>
  <c r="Q221" i="117"/>
  <c r="U220" i="117"/>
  <c r="T220" i="117"/>
  <c r="S220" i="117"/>
  <c r="R220" i="117"/>
  <c r="Q220" i="117"/>
  <c r="U219" i="117"/>
  <c r="T219" i="117"/>
  <c r="S219" i="117"/>
  <c r="R219" i="117"/>
  <c r="Q219" i="117"/>
  <c r="U218" i="117"/>
  <c r="T218" i="117"/>
  <c r="S218" i="117"/>
  <c r="R218" i="117"/>
  <c r="Q218" i="117"/>
  <c r="U217" i="117"/>
  <c r="T217" i="117"/>
  <c r="S217" i="117"/>
  <c r="R217" i="117"/>
  <c r="Q217" i="117"/>
  <c r="I19" i="117"/>
  <c r="G11" i="45"/>
  <c r="G84" i="19"/>
  <c r="G83" i="19"/>
  <c r="G82" i="19"/>
  <c r="G85" i="19"/>
  <c r="G98" i="19"/>
  <c r="H98" i="19"/>
  <c r="G78" i="19"/>
  <c r="G77" i="19"/>
  <c r="G76" i="19"/>
  <c r="I18" i="19"/>
  <c r="G79" i="19"/>
  <c r="G72" i="19"/>
  <c r="G71" i="19"/>
  <c r="G70" i="19"/>
  <c r="G73" i="19" s="1"/>
  <c r="G65" i="19"/>
  <c r="G63" i="19"/>
  <c r="G61" i="19"/>
  <c r="G67" i="19" s="1"/>
  <c r="G97" i="19"/>
  <c r="H97" i="19"/>
  <c r="S256" i="8"/>
  <c r="H243" i="8"/>
  <c r="Z243" i="8" s="1"/>
  <c r="O241" i="8"/>
  <c r="F76" i="116"/>
  <c r="G76" i="116" s="1"/>
  <c r="F75" i="116"/>
  <c r="G75" i="116" s="1"/>
  <c r="B164" i="7"/>
  <c r="M164" i="7" s="1"/>
  <c r="B80" i="86"/>
  <c r="L80" i="86" s="1"/>
  <c r="C85" i="86" s="1"/>
  <c r="H13" i="86" s="1"/>
  <c r="H16" i="8"/>
  <c r="S163" i="8"/>
  <c r="L155" i="8"/>
  <c r="P63" i="8"/>
  <c r="P62" i="8"/>
  <c r="P61" i="8"/>
  <c r="P60" i="8"/>
  <c r="P59" i="8"/>
  <c r="P58" i="8"/>
  <c r="P57" i="8"/>
  <c r="P51" i="8"/>
  <c r="P50" i="8"/>
  <c r="P49" i="8"/>
  <c r="P48" i="8"/>
  <c r="P47" i="8"/>
  <c r="P46" i="8"/>
  <c r="P45" i="8"/>
  <c r="I16" i="8"/>
  <c r="D315" i="8"/>
  <c r="C325" i="8" s="1"/>
  <c r="H19" i="8" s="1"/>
  <c r="O19" i="8" s="1"/>
  <c r="O368" i="8"/>
  <c r="O369" i="8"/>
  <c r="O370" i="8"/>
  <c r="O371" i="8"/>
  <c r="O372" i="8"/>
  <c r="O373" i="8"/>
  <c r="O374" i="8"/>
  <c r="O375" i="8"/>
  <c r="O376" i="8"/>
  <c r="O377" i="8"/>
  <c r="D30" i="37"/>
  <c r="C40" i="37"/>
  <c r="E116" i="36"/>
  <c r="C126" i="36" s="1"/>
  <c r="G14" i="36" s="1"/>
  <c r="L14" i="36" s="1"/>
  <c r="C42" i="93"/>
  <c r="G14" i="93" s="1"/>
  <c r="H15" i="93"/>
  <c r="G15" i="93"/>
  <c r="M101" i="30"/>
  <c r="M100" i="30"/>
  <c r="L31" i="53"/>
  <c r="L32" i="53"/>
  <c r="L33" i="53"/>
  <c r="L30" i="53"/>
  <c r="F231" i="19"/>
  <c r="F232" i="19"/>
  <c r="F233" i="19"/>
  <c r="F234" i="19"/>
  <c r="F235" i="19"/>
  <c r="F236" i="19"/>
  <c r="F237" i="19"/>
  <c r="F230" i="19"/>
  <c r="I230" i="19"/>
  <c r="R59" i="7"/>
  <c r="H60" i="7" s="1"/>
  <c r="G43" i="51"/>
  <c r="P154" i="27"/>
  <c r="E78" i="36"/>
  <c r="N14" i="21"/>
  <c r="G237" i="19"/>
  <c r="G236" i="19"/>
  <c r="G235" i="19"/>
  <c r="G234" i="19"/>
  <c r="G233" i="19"/>
  <c r="G232" i="19"/>
  <c r="G231" i="19"/>
  <c r="D56" i="97"/>
  <c r="C65" i="97"/>
  <c r="E65" i="93"/>
  <c r="N75" i="30"/>
  <c r="N76" i="30"/>
  <c r="N77" i="30"/>
  <c r="N78" i="30"/>
  <c r="N79" i="30"/>
  <c r="N85" i="30"/>
  <c r="N86" i="30"/>
  <c r="N87" i="30"/>
  <c r="N88" i="30"/>
  <c r="N89" i="30"/>
  <c r="N90" i="30"/>
  <c r="N91" i="30"/>
  <c r="N92" i="30"/>
  <c r="N93" i="30"/>
  <c r="N74" i="30"/>
  <c r="C74" i="93"/>
  <c r="G10" i="41"/>
  <c r="E305" i="19"/>
  <c r="C316" i="19"/>
  <c r="H27" i="19" s="1"/>
  <c r="L147" i="36"/>
  <c r="L146" i="36"/>
  <c r="L141" i="36"/>
  <c r="L142" i="36"/>
  <c r="L143" i="36"/>
  <c r="L144" i="36"/>
  <c r="L145" i="36"/>
  <c r="L140" i="36"/>
  <c r="L334" i="19"/>
  <c r="L180" i="19"/>
  <c r="L181" i="19"/>
  <c r="L182" i="19"/>
  <c r="L183" i="19"/>
  <c r="L184" i="19"/>
  <c r="L338" i="19"/>
  <c r="F338" i="19"/>
  <c r="D338" i="19"/>
  <c r="L337" i="19"/>
  <c r="F337" i="19"/>
  <c r="D337" i="19"/>
  <c r="L336" i="19"/>
  <c r="F336" i="19"/>
  <c r="D336" i="19"/>
  <c r="L335" i="19"/>
  <c r="F335" i="19"/>
  <c r="D335" i="19"/>
  <c r="F334" i="19"/>
  <c r="D334" i="19"/>
  <c r="F184" i="19"/>
  <c r="F183" i="19"/>
  <c r="F182" i="19"/>
  <c r="F181" i="19"/>
  <c r="F180" i="19"/>
  <c r="D181" i="19"/>
  <c r="D182" i="19"/>
  <c r="D183" i="19"/>
  <c r="D184" i="19"/>
  <c r="D180" i="19"/>
  <c r="H299" i="19"/>
  <c r="G299" i="19"/>
  <c r="H297" i="19"/>
  <c r="G297" i="19"/>
  <c r="H296" i="19"/>
  <c r="G296" i="19"/>
  <c r="H292" i="19"/>
  <c r="G292" i="19"/>
  <c r="H291" i="19"/>
  <c r="G291" i="19"/>
  <c r="H290" i="19"/>
  <c r="G290" i="19"/>
  <c r="H286" i="19"/>
  <c r="G286" i="19"/>
  <c r="H285" i="19"/>
  <c r="G285" i="19"/>
  <c r="H284" i="19"/>
  <c r="G284" i="19"/>
  <c r="N279" i="19"/>
  <c r="M279" i="19"/>
  <c r="H279" i="19"/>
  <c r="G279" i="19"/>
  <c r="N277" i="19"/>
  <c r="M277" i="19"/>
  <c r="H277" i="19"/>
  <c r="G277" i="19"/>
  <c r="N275" i="19"/>
  <c r="N281" i="19"/>
  <c r="M275" i="19"/>
  <c r="M281" i="19"/>
  <c r="H275" i="19"/>
  <c r="H281" i="19"/>
  <c r="G275" i="19"/>
  <c r="G281" i="19"/>
  <c r="G14" i="97"/>
  <c r="W129" i="28"/>
  <c r="X129" i="28"/>
  <c r="Q129" i="28"/>
  <c r="R129" i="28" s="1"/>
  <c r="W130" i="28"/>
  <c r="X130" i="28"/>
  <c r="Q130" i="28"/>
  <c r="R130" i="28" s="1"/>
  <c r="W131" i="28"/>
  <c r="X131" i="28"/>
  <c r="Q131" i="28"/>
  <c r="R131" i="28" s="1"/>
  <c r="W132" i="28"/>
  <c r="X132" i="28"/>
  <c r="Q132" i="28"/>
  <c r="R132" i="28" s="1"/>
  <c r="W133" i="28"/>
  <c r="X133" i="28"/>
  <c r="Q133" i="28"/>
  <c r="R133" i="28" s="1"/>
  <c r="W134" i="28"/>
  <c r="X134" i="28"/>
  <c r="Q134" i="28"/>
  <c r="R134" i="28" s="1"/>
  <c r="W140" i="28"/>
  <c r="X140" i="28" s="1"/>
  <c r="Q140" i="28"/>
  <c r="R140" i="28" s="1"/>
  <c r="W141" i="28"/>
  <c r="X141" i="28"/>
  <c r="Q141" i="28"/>
  <c r="R141" i="28" s="1"/>
  <c r="W142" i="28"/>
  <c r="X142" i="28"/>
  <c r="Q142" i="28"/>
  <c r="R142" i="28" s="1"/>
  <c r="W143" i="28"/>
  <c r="X143" i="28"/>
  <c r="Q143" i="28"/>
  <c r="R143" i="28" s="1"/>
  <c r="W144" i="28"/>
  <c r="X144" i="28"/>
  <c r="Q144" i="28"/>
  <c r="R144" i="28"/>
  <c r="W145" i="28"/>
  <c r="X145" i="28"/>
  <c r="Q145" i="28"/>
  <c r="R145" i="28"/>
  <c r="W146" i="28"/>
  <c r="X146" i="28"/>
  <c r="Q146" i="28"/>
  <c r="R146" i="28"/>
  <c r="W147" i="28"/>
  <c r="X147" i="28"/>
  <c r="Q147" i="28"/>
  <c r="R147" i="28"/>
  <c r="P111" i="8"/>
  <c r="Q111" i="8"/>
  <c r="P112" i="8"/>
  <c r="Q112" i="8"/>
  <c r="P113" i="8"/>
  <c r="Q113" i="8"/>
  <c r="P114" i="8"/>
  <c r="Q114" i="8"/>
  <c r="P115" i="8"/>
  <c r="Q115" i="8"/>
  <c r="P103" i="8"/>
  <c r="P104" i="8"/>
  <c r="Q104" i="8"/>
  <c r="P105" i="8"/>
  <c r="P116" i="8"/>
  <c r="P117" i="8"/>
  <c r="P118" i="8"/>
  <c r="Q118" i="8"/>
  <c r="P119" i="8"/>
  <c r="P120" i="8"/>
  <c r="P121" i="8"/>
  <c r="Q103" i="8"/>
  <c r="Q105" i="8"/>
  <c r="Q116" i="8"/>
  <c r="Q117" i="8"/>
  <c r="Q119" i="8"/>
  <c r="Q120" i="8"/>
  <c r="Q121" i="8"/>
  <c r="N123" i="19"/>
  <c r="H123" i="19"/>
  <c r="N125" i="19"/>
  <c r="H125" i="19"/>
  <c r="M125" i="19"/>
  <c r="G125" i="19"/>
  <c r="M123" i="19"/>
  <c r="G123" i="19"/>
  <c r="N121" i="19"/>
  <c r="H127" i="19"/>
  <c r="M121" i="19"/>
  <c r="M127" i="19"/>
  <c r="G127" i="19"/>
  <c r="G37" i="113"/>
  <c r="H14" i="97"/>
  <c r="E149" i="83"/>
  <c r="E148" i="83"/>
  <c r="E147" i="83"/>
  <c r="P144" i="83"/>
  <c r="P135" i="83"/>
  <c r="J63" i="30"/>
  <c r="N63" i="30"/>
  <c r="J62" i="30"/>
  <c r="N62" i="30"/>
  <c r="J61" i="30"/>
  <c r="N61" i="30"/>
  <c r="J60" i="30"/>
  <c r="N60" i="30"/>
  <c r="J59" i="30"/>
  <c r="N59" i="30"/>
  <c r="J53" i="30"/>
  <c r="N53" i="30"/>
  <c r="J52" i="30"/>
  <c r="N52" i="30"/>
  <c r="E38" i="90"/>
  <c r="N26" i="90"/>
  <c r="O26" i="90"/>
  <c r="E26" i="90"/>
  <c r="E36" i="90"/>
  <c r="D41" i="90"/>
  <c r="C51" i="90"/>
  <c r="C87" i="36"/>
  <c r="G13" i="36"/>
  <c r="L13" i="36"/>
  <c r="D26" i="97"/>
  <c r="C35" i="97"/>
  <c r="M32" i="91"/>
  <c r="M33" i="91"/>
  <c r="M34" i="91"/>
  <c r="M30" i="91"/>
  <c r="M31" i="91"/>
  <c r="D39" i="91"/>
  <c r="P160" i="27"/>
  <c r="P159" i="27"/>
  <c r="P158" i="27"/>
  <c r="P157" i="27"/>
  <c r="P156" i="27"/>
  <c r="G81" i="7"/>
  <c r="E97" i="7" s="1"/>
  <c r="G82" i="7"/>
  <c r="G83" i="7"/>
  <c r="G84" i="7"/>
  <c r="G85" i="7"/>
  <c r="G86" i="7"/>
  <c r="G87" i="7"/>
  <c r="G88" i="7"/>
  <c r="G89" i="7"/>
  <c r="G90" i="7"/>
  <c r="G91" i="7"/>
  <c r="G92" i="7"/>
  <c r="G93" i="7"/>
  <c r="G94" i="7"/>
  <c r="G95" i="7"/>
  <c r="N59" i="7"/>
  <c r="E98" i="7" s="1"/>
  <c r="O59" i="7"/>
  <c r="E60" i="7" s="1"/>
  <c r="P59" i="7"/>
  <c r="F60" i="7" s="1"/>
  <c r="Q59" i="7"/>
  <c r="G60" i="7" s="1"/>
  <c r="I15" i="83"/>
  <c r="J16" i="83"/>
  <c r="I16" i="83"/>
  <c r="J15" i="83"/>
  <c r="H138" i="19"/>
  <c r="G138" i="19"/>
  <c r="H137" i="19"/>
  <c r="G137" i="19"/>
  <c r="H136" i="19"/>
  <c r="G136" i="19"/>
  <c r="G130" i="19"/>
  <c r="G131" i="19"/>
  <c r="H131" i="19"/>
  <c r="G132" i="19"/>
  <c r="H132" i="19"/>
  <c r="H130" i="19"/>
  <c r="H133" i="19"/>
  <c r="G142" i="19"/>
  <c r="G143" i="19"/>
  <c r="G145" i="19"/>
  <c r="H142" i="19"/>
  <c r="H143" i="19"/>
  <c r="H145" i="19"/>
  <c r="P155" i="27"/>
  <c r="P161" i="27"/>
  <c r="P162" i="27"/>
  <c r="P163" i="27"/>
  <c r="W128" i="28"/>
  <c r="X128" i="28" s="1"/>
  <c r="M31" i="53"/>
  <c r="M32" i="53"/>
  <c r="M33" i="53"/>
  <c r="M30" i="53"/>
  <c r="C204" i="7"/>
  <c r="E146" i="83"/>
  <c r="C159" i="83"/>
  <c r="O71" i="84"/>
  <c r="O72" i="84"/>
  <c r="O73" i="84"/>
  <c r="O74" i="84"/>
  <c r="O75" i="84"/>
  <c r="C83" i="85"/>
  <c r="G13" i="85" s="1"/>
  <c r="L13" i="85" s="1"/>
  <c r="M106" i="30"/>
  <c r="C37" i="84"/>
  <c r="Q62" i="85"/>
  <c r="Q61" i="85"/>
  <c r="Q60" i="85"/>
  <c r="K97" i="83"/>
  <c r="J97" i="83"/>
  <c r="I97" i="83"/>
  <c r="K96" i="83"/>
  <c r="K98" i="83"/>
  <c r="J96" i="83"/>
  <c r="I96" i="83"/>
  <c r="H90" i="83"/>
  <c r="H96" i="83"/>
  <c r="G90" i="83"/>
  <c r="G97" i="83"/>
  <c r="F90" i="83"/>
  <c r="F96" i="83"/>
  <c r="F97" i="83"/>
  <c r="E90" i="83"/>
  <c r="E97" i="83"/>
  <c r="D90" i="83"/>
  <c r="D96" i="83"/>
  <c r="J98" i="83"/>
  <c r="E39" i="90"/>
  <c r="N27" i="90"/>
  <c r="O27" i="90"/>
  <c r="E27" i="90"/>
  <c r="N28" i="90"/>
  <c r="O28" i="90"/>
  <c r="E28" i="90"/>
  <c r="N29" i="90"/>
  <c r="O29" i="90"/>
  <c r="E29" i="90"/>
  <c r="N30" i="90"/>
  <c r="O30" i="90"/>
  <c r="E30" i="90"/>
  <c r="N31" i="90"/>
  <c r="O31" i="90"/>
  <c r="E31" i="90"/>
  <c r="N32" i="90"/>
  <c r="O32" i="90"/>
  <c r="E32" i="90"/>
  <c r="N33" i="90"/>
  <c r="O33" i="90"/>
  <c r="E33" i="90"/>
  <c r="N34" i="90"/>
  <c r="O34" i="90"/>
  <c r="E34" i="90"/>
  <c r="N35" i="90"/>
  <c r="O35" i="90"/>
  <c r="E35" i="90"/>
  <c r="F39" i="90"/>
  <c r="E104" i="18"/>
  <c r="C114" i="18" s="1"/>
  <c r="G13" i="18" s="1"/>
  <c r="E17" i="25"/>
  <c r="S6" i="57" s="1"/>
  <c r="S7" i="57"/>
  <c r="E31" i="25"/>
  <c r="S11" i="57" s="1"/>
  <c r="J50" i="30"/>
  <c r="N50" i="30"/>
  <c r="G15" i="47"/>
  <c r="J51" i="30"/>
  <c r="N51" i="30"/>
  <c r="J64" i="30"/>
  <c r="N64" i="30"/>
  <c r="J65" i="30"/>
  <c r="N65" i="30"/>
  <c r="J66" i="30"/>
  <c r="N66" i="30"/>
  <c r="J67" i="30"/>
  <c r="N67" i="30"/>
  <c r="J68" i="30"/>
  <c r="N68" i="30"/>
  <c r="J49" i="30"/>
  <c r="N49" i="30"/>
  <c r="G8" i="52"/>
  <c r="G11" i="49"/>
  <c r="I98" i="83"/>
  <c r="E96" i="83"/>
  <c r="E98" i="83"/>
  <c r="F98" i="83"/>
  <c r="C45" i="53"/>
  <c r="G12" i="53" s="1"/>
  <c r="H9" i="41" s="1"/>
  <c r="F16" i="25" s="1"/>
  <c r="L12" i="87"/>
  <c r="N15" i="97"/>
  <c r="H7" i="49"/>
  <c r="L19" i="25" s="1"/>
  <c r="G15" i="97"/>
  <c r="H15" i="97"/>
  <c r="I14" i="83"/>
  <c r="O16" i="83"/>
  <c r="M104" i="30"/>
  <c r="C205" i="7"/>
  <c r="M36" i="37"/>
  <c r="F38" i="90"/>
  <c r="J14" i="83"/>
  <c r="E151" i="19"/>
  <c r="C49" i="91"/>
  <c r="G12" i="91"/>
  <c r="H10" i="47"/>
  <c r="L9" i="25"/>
  <c r="G287" i="19"/>
  <c r="G139" i="19"/>
  <c r="Q128" i="28"/>
  <c r="R128" i="28"/>
  <c r="G12" i="30"/>
  <c r="H7" i="47" s="1"/>
  <c r="H146" i="19"/>
  <c r="G133" i="19"/>
  <c r="E340" i="19"/>
  <c r="C350" i="19"/>
  <c r="H29" i="19" s="1"/>
  <c r="L29" i="19" s="1"/>
  <c r="H287" i="19"/>
  <c r="H300" i="19"/>
  <c r="H139" i="19"/>
  <c r="E186" i="19"/>
  <c r="C196" i="19" s="1"/>
  <c r="H20" i="19" s="1"/>
  <c r="N127" i="19"/>
  <c r="H31" i="19"/>
  <c r="L31" i="19" s="1"/>
  <c r="G293" i="19"/>
  <c r="G300" i="19"/>
  <c r="G146" i="19"/>
  <c r="E239" i="19"/>
  <c r="C249" i="19"/>
  <c r="H22" i="19" s="1"/>
  <c r="H293" i="19"/>
  <c r="P461" i="8"/>
  <c r="N12" i="21"/>
  <c r="G12" i="37"/>
  <c r="H9" i="45"/>
  <c r="G12" i="98"/>
  <c r="H10" i="49"/>
  <c r="L22" i="25" s="1"/>
  <c r="F9" i="25"/>
  <c r="N13" i="21"/>
  <c r="D97" i="83"/>
  <c r="D98" i="83"/>
  <c r="E100" i="83"/>
  <c r="C110" i="83"/>
  <c r="G14" i="87"/>
  <c r="L14" i="87"/>
  <c r="G13" i="87"/>
  <c r="L13" i="87"/>
  <c r="H97" i="83"/>
  <c r="H98" i="83"/>
  <c r="G15" i="87"/>
  <c r="H9" i="50"/>
  <c r="L30" i="25"/>
  <c r="G12" i="90"/>
  <c r="H9" i="47"/>
  <c r="L8" i="25"/>
  <c r="L156" i="8"/>
  <c r="G15" i="21"/>
  <c r="H8" i="49"/>
  <c r="G96" i="83"/>
  <c r="G98" i="83"/>
  <c r="L20" i="25"/>
  <c r="G96" i="19" l="1"/>
  <c r="H96" i="19" s="1"/>
  <c r="C100" i="19" s="1"/>
  <c r="C60" i="72"/>
  <c r="C61" i="72" s="1"/>
  <c r="H12" i="72" s="1"/>
  <c r="M51" i="36"/>
  <c r="M46" i="36"/>
  <c r="M41" i="36"/>
  <c r="E53" i="36" s="1"/>
  <c r="C63" i="36" s="1"/>
  <c r="G12" i="36" s="1"/>
  <c r="G17" i="36" s="1"/>
  <c r="C59" i="84"/>
  <c r="G12" i="84" s="1"/>
  <c r="G14" i="84" s="1"/>
  <c r="H9" i="46" s="1"/>
  <c r="F23" i="25" s="1"/>
  <c r="G49" i="84"/>
  <c r="C162" i="19"/>
  <c r="H18" i="19" s="1"/>
  <c r="L18" i="19" s="1"/>
  <c r="F151" i="19"/>
  <c r="C88" i="84"/>
  <c r="H13" i="84" s="1"/>
  <c r="L13" i="84" s="1"/>
  <c r="F61" i="18"/>
  <c r="C71" i="18" s="1"/>
  <c r="C72" i="18" s="1"/>
  <c r="H12" i="18" s="1"/>
  <c r="E97" i="28"/>
  <c r="E98" i="28"/>
  <c r="F98" i="28" s="1"/>
  <c r="C43" i="93"/>
  <c r="H14" i="93" s="1"/>
  <c r="N15" i="93"/>
  <c r="H6" i="49" s="1"/>
  <c r="L18" i="25" s="1"/>
  <c r="L23" i="25" s="1"/>
  <c r="T9" i="57" s="1"/>
  <c r="U9" i="57" s="1"/>
  <c r="C34" i="71"/>
  <c r="G12" i="71" s="1"/>
  <c r="H6" i="52" s="1"/>
  <c r="L27" i="19"/>
  <c r="H33" i="19"/>
  <c r="H32" i="19"/>
  <c r="L22" i="19"/>
  <c r="B48" i="72"/>
  <c r="L48" i="72" s="1"/>
  <c r="B244" i="19"/>
  <c r="L244" i="19" s="1"/>
  <c r="B98" i="27"/>
  <c r="N98" i="27" s="1"/>
  <c r="D60" i="7"/>
  <c r="X241" i="8"/>
  <c r="U241" i="8"/>
  <c r="T243" i="8"/>
  <c r="W243" i="8"/>
  <c r="R254" i="8"/>
  <c r="R245" i="8"/>
  <c r="E451" i="8"/>
  <c r="C469" i="8" s="1"/>
  <c r="H23" i="8" s="1"/>
  <c r="E380" i="8"/>
  <c r="R102" i="8"/>
  <c r="E353" i="8"/>
  <c r="C396" i="8" s="1"/>
  <c r="I21" i="8" s="1"/>
  <c r="H241" i="8"/>
  <c r="R252" i="8"/>
  <c r="R243" i="8"/>
  <c r="Y243" i="8" s="1"/>
  <c r="C326" i="8"/>
  <c r="I19" i="8" s="1"/>
  <c r="R242" i="8"/>
  <c r="H254" i="8"/>
  <c r="T254" i="8" s="1"/>
  <c r="R255" i="8"/>
  <c r="Y255" i="8" s="1"/>
  <c r="B121" i="36"/>
  <c r="L121" i="36" s="1"/>
  <c r="N182" i="117"/>
  <c r="B157" i="19"/>
  <c r="L157" i="19" s="1"/>
  <c r="C163" i="19" s="1"/>
  <c r="B122" i="36"/>
  <c r="L122" i="36" s="1"/>
  <c r="N183" i="117"/>
  <c r="H12" i="117"/>
  <c r="H397" i="117"/>
  <c r="D284" i="117"/>
  <c r="D133" i="117"/>
  <c r="C143" i="117" s="1"/>
  <c r="H13" i="117" s="1"/>
  <c r="D399" i="117"/>
  <c r="D413" i="117" s="1"/>
  <c r="C423" i="117" s="1"/>
  <c r="H21" i="117" s="1"/>
  <c r="N21" i="117" s="1"/>
  <c r="D353" i="117"/>
  <c r="C102" i="117"/>
  <c r="F237" i="117"/>
  <c r="C247" i="117" s="1"/>
  <c r="H17" i="117" s="1"/>
  <c r="D68" i="92"/>
  <c r="D69" i="92" s="1"/>
  <c r="D167" i="92"/>
  <c r="D168" i="92" s="1"/>
  <c r="C178" i="92" s="1"/>
  <c r="H13" i="92" s="1"/>
  <c r="H154" i="27"/>
  <c r="E165" i="27" s="1"/>
  <c r="C175" i="27" s="1"/>
  <c r="G15" i="27" s="1"/>
  <c r="D130" i="27"/>
  <c r="C140" i="27" s="1"/>
  <c r="G14" i="27" s="1"/>
  <c r="D59" i="27"/>
  <c r="C69" i="27" s="1"/>
  <c r="G12" i="27" s="1"/>
  <c r="N12" i="27" s="1"/>
  <c r="G13" i="116"/>
  <c r="H10" i="45" s="1"/>
  <c r="F10" i="25" s="1"/>
  <c r="C44" i="116"/>
  <c r="H11" i="116" s="1"/>
  <c r="M11" i="116" s="1"/>
  <c r="B72" i="8"/>
  <c r="B245" i="19"/>
  <c r="L245" i="19" s="1"/>
  <c r="C250" i="19" s="1"/>
  <c r="I22" i="19" s="1"/>
  <c r="C111" i="83"/>
  <c r="B310" i="19"/>
  <c r="L310" i="19" s="1"/>
  <c r="C317" i="19" s="1"/>
  <c r="I27" i="19" s="1"/>
  <c r="B70" i="93"/>
  <c r="N70" i="93" s="1"/>
  <c r="C75" i="93" s="1"/>
  <c r="C197" i="19"/>
  <c r="I20" i="19" s="1"/>
  <c r="B44" i="72"/>
  <c r="L44" i="72" s="1"/>
  <c r="M44" i="72" s="1"/>
  <c r="C50" i="91"/>
  <c r="H12" i="91" s="1"/>
  <c r="C89" i="87"/>
  <c r="H13" i="87" s="1"/>
  <c r="H15" i="87" s="1"/>
  <c r="B207" i="27"/>
  <c r="N207" i="27" s="1"/>
  <c r="C212" i="27" s="1"/>
  <c r="H16" i="27" s="1"/>
  <c r="C404" i="19"/>
  <c r="I31" i="19" s="1"/>
  <c r="C40" i="21"/>
  <c r="H13" i="21" s="1"/>
  <c r="C115" i="18"/>
  <c r="H13" i="18" s="1"/>
  <c r="M13" i="18" s="1"/>
  <c r="B158" i="19"/>
  <c r="C52" i="90"/>
  <c r="H12" i="90" s="1"/>
  <c r="O14" i="8"/>
  <c r="G14" i="86"/>
  <c r="H8" i="50" s="1"/>
  <c r="L12" i="86"/>
  <c r="C49" i="86"/>
  <c r="H12" i="86" s="1"/>
  <c r="H14" i="86" s="1"/>
  <c r="L12" i="51"/>
  <c r="H7" i="50"/>
  <c r="L28" i="25" s="1"/>
  <c r="C73" i="119"/>
  <c r="G12" i="119" s="1"/>
  <c r="M12" i="119" s="1"/>
  <c r="C117" i="119"/>
  <c r="G13" i="119" s="1"/>
  <c r="G14" i="119" s="1"/>
  <c r="H10" i="50" s="1"/>
  <c r="L31" i="25" s="1"/>
  <c r="C57" i="51"/>
  <c r="H12" i="51" s="1"/>
  <c r="E157" i="36"/>
  <c r="C167" i="36" s="1"/>
  <c r="C168" i="36" s="1"/>
  <c r="H15" i="36" s="1"/>
  <c r="C42" i="85"/>
  <c r="H12" i="85" s="1"/>
  <c r="L12" i="85"/>
  <c r="G14" i="85"/>
  <c r="H10" i="46" s="1"/>
  <c r="C84" i="85"/>
  <c r="H13" i="85" s="1"/>
  <c r="G17" i="7"/>
  <c r="O16" i="8"/>
  <c r="R112" i="8"/>
  <c r="L159" i="8"/>
  <c r="L163" i="8"/>
  <c r="L157" i="8"/>
  <c r="L161" i="8"/>
  <c r="P465" i="8"/>
  <c r="R115" i="8"/>
  <c r="R119" i="8"/>
  <c r="R103" i="8"/>
  <c r="R105" i="8"/>
  <c r="R113" i="8"/>
  <c r="R253" i="8"/>
  <c r="R244" i="8"/>
  <c r="V244" i="8" s="1"/>
  <c r="L154" i="8"/>
  <c r="R118" i="8"/>
  <c r="L162" i="8"/>
  <c r="R121" i="8"/>
  <c r="R116" i="8"/>
  <c r="R120" i="8"/>
  <c r="R117" i="8"/>
  <c r="R104" i="8"/>
  <c r="R114" i="8"/>
  <c r="R251" i="8"/>
  <c r="R111" i="8"/>
  <c r="L158" i="8"/>
  <c r="L160" i="8"/>
  <c r="C46" i="53"/>
  <c r="H12" i="53" s="1"/>
  <c r="B345" i="19"/>
  <c r="L345" i="19" s="1"/>
  <c r="B346" i="19"/>
  <c r="L346" i="19" s="1"/>
  <c r="B52" i="72"/>
  <c r="L52" i="72" s="1"/>
  <c r="B51" i="72"/>
  <c r="L51" i="72" s="1"/>
  <c r="B97" i="27"/>
  <c r="N97" i="27" s="1"/>
  <c r="B55" i="72"/>
  <c r="L55" i="72" s="1"/>
  <c r="M56" i="72" s="1"/>
  <c r="B113" i="119"/>
  <c r="M113" i="119" s="1"/>
  <c r="C118" i="119" s="1"/>
  <c r="H13" i="119" s="1"/>
  <c r="C111" i="30"/>
  <c r="H12" i="30" s="1"/>
  <c r="C93" i="116"/>
  <c r="H12" i="116" s="1"/>
  <c r="M12" i="116" s="1"/>
  <c r="C43" i="98"/>
  <c r="H12" i="98" s="1"/>
  <c r="C60" i="84"/>
  <c r="H12" i="84" s="1"/>
  <c r="H14" i="84" s="1"/>
  <c r="C55" i="83"/>
  <c r="C160" i="83"/>
  <c r="B47" i="72"/>
  <c r="L47" i="72" s="1"/>
  <c r="M48" i="72" s="1"/>
  <c r="C42" i="119"/>
  <c r="H11" i="119" s="1"/>
  <c r="C74" i="119"/>
  <c r="H12" i="119" s="1"/>
  <c r="L29" i="25"/>
  <c r="C424" i="117"/>
  <c r="I21" i="117" s="1"/>
  <c r="C76" i="117"/>
  <c r="C113" i="95"/>
  <c r="H12" i="95" s="1"/>
  <c r="G12" i="95"/>
  <c r="E149" i="28"/>
  <c r="E150" i="28" s="1"/>
  <c r="C160" i="28" s="1"/>
  <c r="C161" i="28" s="1"/>
  <c r="D95" i="30"/>
  <c r="C177" i="8"/>
  <c r="C470" i="8"/>
  <c r="I23" i="8" s="1"/>
  <c r="O243" i="8"/>
  <c r="F65" i="8"/>
  <c r="C76" i="8" s="1"/>
  <c r="L6" i="25"/>
  <c r="H17" i="19" l="1"/>
  <c r="C101" i="19"/>
  <c r="I17" i="19" s="1"/>
  <c r="L17" i="19" s="1"/>
  <c r="G12" i="72"/>
  <c r="H7" i="52" s="1"/>
  <c r="F30" i="25" s="1"/>
  <c r="C64" i="36"/>
  <c r="H12" i="36" s="1"/>
  <c r="L12" i="36"/>
  <c r="G15" i="84"/>
  <c r="G12" i="18"/>
  <c r="G15" i="18" s="1"/>
  <c r="G61" i="18"/>
  <c r="H13" i="8"/>
  <c r="C77" i="8"/>
  <c r="I13" i="8" s="1"/>
  <c r="L12" i="84"/>
  <c r="C80" i="92"/>
  <c r="E69" i="92"/>
  <c r="C107" i="28"/>
  <c r="C108" i="28" s="1"/>
  <c r="M14" i="28" s="1"/>
  <c r="H11" i="49"/>
  <c r="C35" i="71"/>
  <c r="H12" i="71" s="1"/>
  <c r="L20" i="19"/>
  <c r="C127" i="36"/>
  <c r="H14" i="36" s="1"/>
  <c r="C103" i="27"/>
  <c r="H13" i="27" s="1"/>
  <c r="I12" i="117"/>
  <c r="N12" i="117" s="1"/>
  <c r="C168" i="7"/>
  <c r="G15" i="7" s="1"/>
  <c r="W241" i="8"/>
  <c r="T241" i="8"/>
  <c r="V255" i="8"/>
  <c r="AB255" i="8"/>
  <c r="I242" i="8"/>
  <c r="V242" i="8"/>
  <c r="U243" i="8"/>
  <c r="X243" i="8"/>
  <c r="I254" i="8"/>
  <c r="V254" i="8"/>
  <c r="O252" i="8"/>
  <c r="U252" i="8" s="1"/>
  <c r="V252" i="8"/>
  <c r="I253" i="8"/>
  <c r="V253" i="8"/>
  <c r="I243" i="8"/>
  <c r="V243" i="8"/>
  <c r="I251" i="8"/>
  <c r="V251" i="8"/>
  <c r="I245" i="8"/>
  <c r="V245" i="8"/>
  <c r="I252" i="8"/>
  <c r="H252" i="8"/>
  <c r="T252" i="8" s="1"/>
  <c r="I241" i="8"/>
  <c r="O254" i="8"/>
  <c r="U254" i="8" s="1"/>
  <c r="H253" i="8"/>
  <c r="T253" i="8" s="1"/>
  <c r="C395" i="8"/>
  <c r="H21" i="8" s="1"/>
  <c r="O21" i="8" s="1"/>
  <c r="I244" i="8"/>
  <c r="O251" i="8"/>
  <c r="U251" i="8" s="1"/>
  <c r="O255" i="8"/>
  <c r="X255" i="8" s="1"/>
  <c r="H255" i="8"/>
  <c r="W255" i="8" s="1"/>
  <c r="I255" i="8"/>
  <c r="C188" i="117"/>
  <c r="I14" i="117" s="1"/>
  <c r="H12" i="21"/>
  <c r="C144" i="117"/>
  <c r="I13" i="117" s="1"/>
  <c r="N13" i="117" s="1"/>
  <c r="C248" i="117"/>
  <c r="I17" i="117" s="1"/>
  <c r="C179" i="92"/>
  <c r="I13" i="92" s="1"/>
  <c r="M13" i="92" s="1"/>
  <c r="C70" i="27"/>
  <c r="H12" i="27" s="1"/>
  <c r="C141" i="27"/>
  <c r="H14" i="27" s="1"/>
  <c r="N14" i="27" s="1"/>
  <c r="C176" i="27"/>
  <c r="H15" i="27" s="1"/>
  <c r="G17" i="27"/>
  <c r="H8" i="47" s="1"/>
  <c r="L7" i="25" s="1"/>
  <c r="H13" i="116"/>
  <c r="H14" i="18"/>
  <c r="H14" i="119"/>
  <c r="M52" i="72"/>
  <c r="M13" i="119"/>
  <c r="G15" i="36"/>
  <c r="L15" i="36"/>
  <c r="G16" i="36"/>
  <c r="H6" i="50" s="1"/>
  <c r="L27" i="25" s="1"/>
  <c r="L32" i="25" s="1"/>
  <c r="T10" i="57" s="1"/>
  <c r="S18" i="57" s="1"/>
  <c r="S17" i="57"/>
  <c r="F29" i="25"/>
  <c r="H8" i="52"/>
  <c r="C210" i="7"/>
  <c r="H17" i="7" s="1"/>
  <c r="M17" i="7" s="1"/>
  <c r="H14" i="85"/>
  <c r="E99" i="7"/>
  <c r="T163" i="8"/>
  <c r="W163" i="8"/>
  <c r="E123" i="8"/>
  <c r="V163" i="8"/>
  <c r="Y163" i="8"/>
  <c r="O242" i="8"/>
  <c r="U242" i="8" s="1"/>
  <c r="H242" i="8"/>
  <c r="T242" i="8" s="1"/>
  <c r="C351" i="19"/>
  <c r="I29" i="19" s="1"/>
  <c r="I32" i="19" s="1"/>
  <c r="H15" i="21"/>
  <c r="N17" i="117"/>
  <c r="M12" i="95"/>
  <c r="H13" i="47"/>
  <c r="L12" i="25" s="1"/>
  <c r="O244" i="8"/>
  <c r="U244" i="8" s="1"/>
  <c r="H244" i="8"/>
  <c r="T244" i="8" s="1"/>
  <c r="O245" i="8"/>
  <c r="U245" i="8" s="1"/>
  <c r="H245" i="8"/>
  <c r="T245" i="8" s="1"/>
  <c r="O23" i="8"/>
  <c r="I23" i="19" l="1"/>
  <c r="H24" i="19"/>
  <c r="H23" i="19"/>
  <c r="L32" i="19" s="1"/>
  <c r="H8" i="41" s="1"/>
  <c r="H16" i="36"/>
  <c r="H8" i="45"/>
  <c r="F8" i="25" s="1"/>
  <c r="F11" i="25" s="1"/>
  <c r="C110" i="7"/>
  <c r="C111" i="7" s="1"/>
  <c r="H13" i="7" s="1"/>
  <c r="G14" i="18"/>
  <c r="M12" i="18"/>
  <c r="O13" i="8"/>
  <c r="H12" i="92"/>
  <c r="C81" i="92"/>
  <c r="I12" i="92" s="1"/>
  <c r="I14" i="92" s="1"/>
  <c r="K14" i="28"/>
  <c r="H11" i="47" s="1"/>
  <c r="L10" i="25" s="1"/>
  <c r="H109" i="61"/>
  <c r="H100" i="61"/>
  <c r="H97" i="61"/>
  <c r="H103" i="61"/>
  <c r="H91" i="61"/>
  <c r="H112" i="61"/>
  <c r="H79" i="61"/>
  <c r="H82" i="61"/>
  <c r="H85" i="61"/>
  <c r="H73" i="61"/>
  <c r="H94" i="61"/>
  <c r="H88" i="61"/>
  <c r="H106" i="61"/>
  <c r="H76" i="61"/>
  <c r="C169" i="7"/>
  <c r="H15" i="7" s="1"/>
  <c r="M15" i="7" s="1"/>
  <c r="Y256" i="8"/>
  <c r="D265" i="8" s="1"/>
  <c r="W256" i="8"/>
  <c r="D264" i="8" s="1"/>
  <c r="T255" i="8"/>
  <c r="Z255" i="8"/>
  <c r="U255" i="8"/>
  <c r="AA255" i="8"/>
  <c r="C133" i="8"/>
  <c r="C134" i="8" s="1"/>
  <c r="H251" i="8"/>
  <c r="T251" i="8" s="1"/>
  <c r="O253" i="8"/>
  <c r="U253" i="8" s="1"/>
  <c r="N14" i="117"/>
  <c r="I15" i="117" s="1"/>
  <c r="H15" i="117"/>
  <c r="H17" i="27"/>
  <c r="N15" i="27"/>
  <c r="H11" i="50"/>
  <c r="U10" i="57"/>
  <c r="F31" i="25"/>
  <c r="T11" i="57" s="1"/>
  <c r="F15" i="25" l="1"/>
  <c r="F17" i="25" s="1"/>
  <c r="T6" i="57" s="1"/>
  <c r="H10" i="41"/>
  <c r="G13" i="7"/>
  <c r="G19" i="7" s="1"/>
  <c r="H15" i="92"/>
  <c r="M12" i="92"/>
  <c r="H14" i="92"/>
  <c r="H12" i="47" s="1"/>
  <c r="L11" i="25" s="1"/>
  <c r="E107" i="69"/>
  <c r="E109" i="69" s="1"/>
  <c r="D266" i="8"/>
  <c r="V256" i="8"/>
  <c r="D259" i="8" s="1"/>
  <c r="T256" i="8"/>
  <c r="D258" i="8" s="1"/>
  <c r="Z256" i="8"/>
  <c r="H264" i="8" s="1"/>
  <c r="AB256" i="8"/>
  <c r="H265" i="8" s="1"/>
  <c r="N15" i="117"/>
  <c r="I22" i="117" s="1"/>
  <c r="H22" i="117"/>
  <c r="H14" i="47" s="1"/>
  <c r="L13" i="25" s="1"/>
  <c r="U11" i="57"/>
  <c r="S19" i="57"/>
  <c r="S14" i="57" l="1"/>
  <c r="U6" i="57"/>
  <c r="C120" i="69"/>
  <c r="G12" i="69" s="1"/>
  <c r="H8" i="46" s="1"/>
  <c r="F22" i="25" s="1"/>
  <c r="G109" i="69"/>
  <c r="M13" i="7"/>
  <c r="G18" i="7"/>
  <c r="H7" i="45" s="1"/>
  <c r="F7" i="25" s="1"/>
  <c r="L14" i="25"/>
  <c r="T8" i="57" s="1"/>
  <c r="U8" i="57" s="1"/>
  <c r="H18" i="7"/>
  <c r="C121" i="69"/>
  <c r="H12" i="69" s="1"/>
  <c r="D260" i="8"/>
  <c r="H266" i="8"/>
  <c r="H15" i="47"/>
  <c r="T275" i="8" l="1"/>
  <c r="F257" i="8" s="1"/>
  <c r="S16" i="57"/>
  <c r="T271" i="8"/>
  <c r="T272" i="8"/>
  <c r="T273" i="8"/>
  <c r="T274" i="8"/>
  <c r="C277" i="8" s="1"/>
  <c r="H17" i="8" s="1"/>
  <c r="F258" i="8" l="1"/>
  <c r="F260" i="8" s="1"/>
  <c r="F259" i="8"/>
  <c r="F261" i="8" s="1"/>
  <c r="H24" i="8"/>
  <c r="H6" i="45" s="1"/>
  <c r="H25" i="8"/>
  <c r="C278" i="8"/>
  <c r="I17" i="8" s="1"/>
  <c r="I24" i="8" s="1"/>
  <c r="H70" i="61"/>
  <c r="E116" i="61" s="1"/>
  <c r="E118" i="61" s="1"/>
  <c r="C129" i="61" l="1"/>
  <c r="G12" i="61" s="1"/>
  <c r="H7" i="46" s="1"/>
  <c r="G118" i="61"/>
  <c r="O17" i="8"/>
  <c r="F6" i="25"/>
  <c r="T5" i="57" s="1"/>
  <c r="H11" i="45"/>
  <c r="C130" i="61" l="1"/>
  <c r="H12" i="61" s="1"/>
  <c r="S13" i="57"/>
  <c r="U5" i="57"/>
  <c r="H11" i="46"/>
  <c r="F21" i="25"/>
  <c r="F25" i="25" s="1"/>
  <c r="N31" i="25" l="1"/>
  <c r="N5" i="57"/>
  <c r="N6" i="57" s="1"/>
  <c r="T7" i="57"/>
  <c r="S31" i="25"/>
  <c r="U7" i="57" l="1"/>
  <c r="S15" i="57"/>
  <c r="N7" i="57"/>
  <c r="O12" i="57"/>
  <c r="O14" i="57" s="1"/>
</calcChain>
</file>

<file path=xl/sharedStrings.xml><?xml version="1.0" encoding="utf-8"?>
<sst xmlns="http://schemas.openxmlformats.org/spreadsheetml/2006/main" count="6294" uniqueCount="2656">
  <si>
    <t>LE-4 Heat Island Effect</t>
  </si>
  <si>
    <t>Health &amp; Comfort</t>
  </si>
  <si>
    <t>H-1 Fresh Air Supply</t>
  </si>
  <si>
    <t>H-3 Hazardous Materials</t>
  </si>
  <si>
    <t>E-4 Artificial Lighting</t>
  </si>
  <si>
    <t>Results</t>
  </si>
  <si>
    <t>Calculations</t>
  </si>
  <si>
    <t>Light fixture type</t>
  </si>
  <si>
    <t>Quantity</t>
  </si>
  <si>
    <t>Individual Power (W)</t>
  </si>
  <si>
    <t>Additional power (W)</t>
  </si>
  <si>
    <t>Total power (W)</t>
  </si>
  <si>
    <t>Details</t>
  </si>
  <si>
    <t>Water</t>
  </si>
  <si>
    <t>W-1 Water Efficient Fixtures</t>
  </si>
  <si>
    <t>Project information</t>
  </si>
  <si>
    <t>Points</t>
  </si>
  <si>
    <t>Energy</t>
  </si>
  <si>
    <t>M-1</t>
  </si>
  <si>
    <t>E-1</t>
  </si>
  <si>
    <t>E-2</t>
  </si>
  <si>
    <t>E-3</t>
  </si>
  <si>
    <t>E-4</t>
  </si>
  <si>
    <t>Artificial Lighting</t>
  </si>
  <si>
    <t>Energy Efficient Appliances</t>
  </si>
  <si>
    <t>Total</t>
  </si>
  <si>
    <t>H-1</t>
  </si>
  <si>
    <t>Fresh Air Supply</t>
  </si>
  <si>
    <t>H-2</t>
  </si>
  <si>
    <t>W-1</t>
  </si>
  <si>
    <t>Water Efficient Fixtures</t>
  </si>
  <si>
    <t>H-3</t>
  </si>
  <si>
    <t>W-2</t>
  </si>
  <si>
    <t>H-4</t>
  </si>
  <si>
    <t>Daylighting</t>
  </si>
  <si>
    <t>E-6 Energy Efficient Appliances</t>
  </si>
  <si>
    <t>Refrigerants</t>
  </si>
  <si>
    <t>Exceed significantly the credit requirements of LOTUS credits</t>
  </si>
  <si>
    <t>Inn-2</t>
  </si>
  <si>
    <t>Number of floors</t>
  </si>
  <si>
    <t>COP required by VBEEC</t>
  </si>
  <si>
    <t>Types</t>
  </si>
  <si>
    <t>Type</t>
  </si>
  <si>
    <t xml:space="preserve">Unitary air-conditioner </t>
  </si>
  <si>
    <t xml:space="preserve">Split air-conditioner </t>
  </si>
  <si>
    <t>Cooling output</t>
  </si>
  <si>
    <t>Brand</t>
  </si>
  <si>
    <t>Air-conditioning unit model</t>
  </si>
  <si>
    <t>air-cooled air-conditioner</t>
  </si>
  <si>
    <r>
      <t>³</t>
    </r>
    <r>
      <rPr>
        <sz val="10"/>
        <color theme="1"/>
        <rFont val="Arial"/>
        <family val="2"/>
      </rPr>
      <t xml:space="preserve"> 19 kW to &lt; 40 kW</t>
    </r>
  </si>
  <si>
    <r>
      <t>³</t>
    </r>
    <r>
      <rPr>
        <sz val="10"/>
        <color theme="1"/>
        <rFont val="Arial"/>
        <family val="2"/>
      </rPr>
      <t xml:space="preserve"> 40 kW to &lt; 70 kW</t>
    </r>
  </si>
  <si>
    <t>/</t>
  </si>
  <si>
    <t>&lt; 19 kW</t>
  </si>
  <si>
    <t>Select</t>
  </si>
  <si>
    <t xml:space="preserve">E-7 Energy Monitors </t>
  </si>
  <si>
    <t xml:space="preserve">Minimise the use of hazardous materials for paints and coatings  </t>
  </si>
  <si>
    <t>Minimise the use of hazardous materials for adhesives and sealants</t>
  </si>
  <si>
    <t>Minimise the use of hazardous materials for flooring systems</t>
  </si>
  <si>
    <t>Minimise the use of hazardous materials for fitted furniture</t>
  </si>
  <si>
    <t>H-4 Daylighting</t>
  </si>
  <si>
    <t>CM-3 Operational Management</t>
  </si>
  <si>
    <t>CM-2 Construction Management</t>
  </si>
  <si>
    <r>
      <rPr>
        <b/>
        <sz val="11"/>
        <rFont val="Arial"/>
        <family val="2"/>
      </rPr>
      <t>Strategy B: Demolition and construction waste</t>
    </r>
    <r>
      <rPr>
        <sz val="11"/>
        <rFont val="Arial"/>
        <family val="2"/>
      </rPr>
      <t xml:space="preserve">
Implement strategies to minimise demolition and construction waste </t>
    </r>
  </si>
  <si>
    <r>
      <rPr>
        <b/>
        <sz val="11"/>
        <rFont val="Arial"/>
        <family val="2"/>
      </rPr>
      <t>Strategy C: Construction noise</t>
    </r>
    <r>
      <rPr>
        <sz val="11"/>
        <rFont val="Arial"/>
        <family val="2"/>
      </rPr>
      <t xml:space="preserve">
Implement adequate mitigation measures to limit construction noise</t>
    </r>
  </si>
  <si>
    <t>Points available</t>
  </si>
  <si>
    <t>Drinking Water</t>
  </si>
  <si>
    <r>
      <rPr>
        <b/>
        <sz val="11"/>
        <rFont val="Arial"/>
        <family val="2"/>
      </rPr>
      <t>Strategy D: Neighbourhood Impact Plan</t>
    </r>
    <r>
      <rPr>
        <sz val="11"/>
        <rFont val="Arial"/>
        <family val="2"/>
      </rPr>
      <t xml:space="preserve">
Implement adequate measures to reduce construction impacts on neighbouring properties</t>
    </r>
  </si>
  <si>
    <t>Appliance type</t>
  </si>
  <si>
    <t>Rated Power (W)</t>
  </si>
  <si>
    <t>Energy efficiency label?</t>
  </si>
  <si>
    <t>Design Water Use per person per day (L)</t>
  </si>
  <si>
    <t>Baseline water use per person per day (L)</t>
  </si>
  <si>
    <t>Flush Type</t>
  </si>
  <si>
    <t>Low Flush</t>
  </si>
  <si>
    <t>Full Flush</t>
  </si>
  <si>
    <r>
      <rPr>
        <sz val="12"/>
        <color indexed="9"/>
        <rFont val="Arial"/>
        <family val="2"/>
      </rPr>
      <t>Water Closet</t>
    </r>
    <r>
      <rPr>
        <sz val="11"/>
        <color indexed="9"/>
        <rFont val="Arial"/>
        <family val="2"/>
      </rPr>
      <t xml:space="preserve">                    </t>
    </r>
  </si>
  <si>
    <t>Flowrate
[L/s]</t>
  </si>
  <si>
    <t>Compliant?</t>
  </si>
  <si>
    <r>
      <rPr>
        <sz val="12"/>
        <color indexed="9"/>
        <rFont val="Arial"/>
        <family val="2"/>
      </rPr>
      <t>Shower heads</t>
    </r>
    <r>
      <rPr>
        <sz val="11"/>
        <color indexed="9"/>
        <rFont val="Arial"/>
        <family val="2"/>
      </rPr>
      <t xml:space="preserve">                                     </t>
    </r>
    <r>
      <rPr>
        <sz val="10"/>
        <color indexed="9"/>
        <rFont val="Arial"/>
        <family val="2"/>
      </rPr>
      <t>Fixture Name</t>
    </r>
  </si>
  <si>
    <t>Fixture Name</t>
  </si>
  <si>
    <r>
      <rPr>
        <sz val="12"/>
        <color indexed="9"/>
        <rFont val="Arial"/>
        <family val="2"/>
      </rPr>
      <t>Kitchen Taps</t>
    </r>
    <r>
      <rPr>
        <sz val="11"/>
        <color indexed="9"/>
        <rFont val="Arial"/>
        <family val="2"/>
      </rPr>
      <t xml:space="preserve">                                     </t>
    </r>
    <r>
      <rPr>
        <sz val="10"/>
        <color indexed="9"/>
        <rFont val="Arial"/>
        <family val="2"/>
      </rPr>
      <t>Fixture Name</t>
    </r>
  </si>
  <si>
    <r>
      <rPr>
        <sz val="12"/>
        <color indexed="9"/>
        <rFont val="Arial"/>
        <family val="2"/>
      </rPr>
      <t xml:space="preserve">Bathroom Taps
</t>
    </r>
    <r>
      <rPr>
        <sz val="10"/>
        <color indexed="9"/>
        <rFont val="Arial"/>
        <family val="2"/>
      </rPr>
      <t>Fixture Name</t>
    </r>
  </si>
  <si>
    <t>Credit Requirements</t>
  </si>
  <si>
    <t>Criteria</t>
  </si>
  <si>
    <t>Submissions</t>
  </si>
  <si>
    <t>Submit all the documentation listed below:</t>
  </si>
  <si>
    <t>Location</t>
  </si>
  <si>
    <t>Possible points</t>
  </si>
  <si>
    <t>Total Points</t>
  </si>
  <si>
    <t>Type of paint / coating</t>
  </si>
  <si>
    <t>Product Name</t>
  </si>
  <si>
    <t>VOC content limit
[g/L]</t>
  </si>
  <si>
    <t>All paints and coatings compliant?</t>
  </si>
  <si>
    <t>Type of adhesive / sealant</t>
  </si>
  <si>
    <t>All adhesives and sealants compliant?</t>
  </si>
  <si>
    <t>Options and strategies</t>
  </si>
  <si>
    <r>
      <rPr>
        <b/>
        <sz val="11"/>
        <rFont val="Arial"/>
        <family val="2"/>
      </rPr>
      <t>Strategy B: U-values of roofs</t>
    </r>
    <r>
      <rPr>
        <sz val="11"/>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</si>
  <si>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1"/>
        <rFont val="Arial"/>
        <family val="2"/>
      </rPr>
      <t>Strategy A: U-values of walls</t>
    </r>
    <r>
      <rPr>
        <sz val="11"/>
        <rFont val="Arial"/>
        <family val="2"/>
      </rPr>
      <t xml:space="preserve">
All the external walls are made with any or any combination of the following: 
AAC blocks, a layer of insulation material with a thickness of at least 40mm, lightweight hollow blocks or equivalent.</t>
    </r>
  </si>
  <si>
    <t>Light fixture model</t>
  </si>
  <si>
    <t>Select the option pursued:</t>
  </si>
  <si>
    <t>Number of occupants</t>
  </si>
  <si>
    <t xml:space="preserve">W-3 Drinking Water </t>
  </si>
  <si>
    <t>Approach &amp; Implementation</t>
  </si>
  <si>
    <t>Project Name</t>
  </si>
  <si>
    <t>• Energy Star</t>
  </si>
  <si>
    <t>• VNEEP energy label with 4 or 5 stars</t>
  </si>
  <si>
    <t>• European Union Energy Label with class A label or better</t>
  </si>
  <si>
    <t>• EMSD (Hong Kong) Energy Efficiency Labelling Scheme with Grade 1 or Grade 2 labels</t>
  </si>
  <si>
    <t>• EMSD’s Voluntary Energy Efficiency Labelling Scheme with Recognition type label</t>
  </si>
  <si>
    <t>• Australian Energy Rating Label Program with 3 stars or higher for Appliances that carry an energy label</t>
  </si>
  <si>
    <t>• Australian Energy Rating Label Program MEPS for Products registered for MEPS.</t>
  </si>
  <si>
    <t>Type of product</t>
  </si>
  <si>
    <t>Resources</t>
  </si>
  <si>
    <t>Number of fixtures</t>
  </si>
  <si>
    <t>Daily Design Water Use (L)</t>
  </si>
  <si>
    <t>Daily Baseline Water Use (L)</t>
  </si>
  <si>
    <t>Credit requirements</t>
  </si>
  <si>
    <t>Equipment Type</t>
  </si>
  <si>
    <t>Credit</t>
  </si>
  <si>
    <t>Available points</t>
  </si>
  <si>
    <t>Best Practice Credits</t>
  </si>
  <si>
    <t xml:space="preserve">• heavy metals  </t>
  </si>
  <si>
    <t xml:space="preserve">• chlorine </t>
  </si>
  <si>
    <t>Filter type</t>
  </si>
  <si>
    <t>• bacteria</t>
  </si>
  <si>
    <t xml:space="preserve">• dust, particles, and rust  </t>
  </si>
  <si>
    <t>1. General</t>
  </si>
  <si>
    <t>uncertified</t>
  </si>
  <si>
    <t>certified</t>
  </si>
  <si>
    <t>silver</t>
  </si>
  <si>
    <t>gold</t>
  </si>
  <si>
    <t>platinum</t>
  </si>
  <si>
    <t>H&amp;C</t>
  </si>
  <si>
    <t>Ready to submit?</t>
  </si>
  <si>
    <t xml:space="preserve">Points </t>
  </si>
  <si>
    <t>Appliance name</t>
  </si>
  <si>
    <t>&lt;4.5 kW</t>
  </si>
  <si>
    <r>
      <t xml:space="preserve">&gt;= </t>
    </r>
    <r>
      <rPr>
        <sz val="10"/>
        <color theme="1"/>
        <rFont val="Arial"/>
        <family val="2"/>
      </rPr>
      <t xml:space="preserve"> 40 kW to &lt; 70 kW</t>
    </r>
  </si>
  <si>
    <t>Air conditioner water and evaporatively cooled</t>
  </si>
  <si>
    <t>Click on the links on 
the right to navigate to 
other Energy credits</t>
  </si>
  <si>
    <t>Mechanically ventilated spaces are spaces where a mechanical ventilation system directly supplies fresh air into the space.</t>
  </si>
  <si>
    <t>Both the above requirements for HVAC systems and for natural ventilation must be met.</t>
  </si>
  <si>
    <t>Ventilation Type</t>
  </si>
  <si>
    <t>List and area of openings to the outdoors</t>
  </si>
  <si>
    <t>Strategy A: Paints and coatings</t>
  </si>
  <si>
    <t>Strategy B: Adhesives and sealants</t>
  </si>
  <si>
    <t>Strategy C: Flooring systems</t>
  </si>
  <si>
    <t>Strategy C: Construction noise</t>
  </si>
  <si>
    <t>List of noise sensitive locations</t>
  </si>
  <si>
    <t>List of high impact construction practices</t>
  </si>
  <si>
    <t>Compliant Construction Noise Mitigation Strategy ?</t>
  </si>
  <si>
    <t>This manual should be a folder or a jacket including the documents with necessary information for the operation and maintenance of the building</t>
  </si>
  <si>
    <t>Compliant waste management?</t>
  </si>
  <si>
    <t>Certification level</t>
  </si>
  <si>
    <t>Type of waste</t>
  </si>
  <si>
    <t>Disposal location</t>
  </si>
  <si>
    <t>Disposal option</t>
  </si>
  <si>
    <t>M-1 Building Structure</t>
  </si>
  <si>
    <r>
      <t>Area of the room (m</t>
    </r>
    <r>
      <rPr>
        <vertAlign val="superscript"/>
        <sz val="10"/>
        <color theme="0"/>
        <rFont val="Arial"/>
        <family val="2"/>
      </rPr>
      <t>2</t>
    </r>
    <r>
      <rPr>
        <sz val="10"/>
        <color theme="0"/>
        <rFont val="Arial"/>
        <family val="2"/>
      </rPr>
      <t>)</t>
    </r>
  </si>
  <si>
    <t>Maintenance factor</t>
  </si>
  <si>
    <t>Reflectance of room surfaces</t>
  </si>
  <si>
    <t>Breadth</t>
  </si>
  <si>
    <t>Height</t>
  </si>
  <si>
    <t>Ceiling</t>
  </si>
  <si>
    <t>Wall</t>
  </si>
  <si>
    <t>Floor</t>
  </si>
  <si>
    <r>
      <t>Room dimensions (m</t>
    </r>
    <r>
      <rPr>
        <sz val="10"/>
        <color theme="0"/>
        <rFont val="Arial"/>
        <family val="2"/>
      </rPr>
      <t>)</t>
    </r>
  </si>
  <si>
    <r>
      <t>Glazed area of windows (m</t>
    </r>
    <r>
      <rPr>
        <vertAlign val="superscript"/>
        <sz val="10"/>
        <color theme="0"/>
        <rFont val="Arial"/>
        <family val="2"/>
      </rPr>
      <t>2</t>
    </r>
    <r>
      <rPr>
        <sz val="10"/>
        <color theme="0"/>
        <rFont val="Arial"/>
        <family val="2"/>
      </rPr>
      <t>)</t>
    </r>
  </si>
  <si>
    <t>Angle of visible sky (degrees)</t>
  </si>
  <si>
    <t>Internal surface area of the space [m2]</t>
  </si>
  <si>
    <t>Average reflectance</t>
  </si>
  <si>
    <t>Length</t>
  </si>
  <si>
    <t>Compliant Area Percentage [%]</t>
  </si>
  <si>
    <t>VOC content of the product [g/L]</t>
  </si>
  <si>
    <t>Please click on the images below to navigate to the different categories.</t>
  </si>
  <si>
    <t>Slope</t>
  </si>
  <si>
    <t>Window Condition</t>
  </si>
  <si>
    <t xml:space="preserve">Clean </t>
  </si>
  <si>
    <t>Dirty</t>
  </si>
  <si>
    <t>Non-Industrial Area</t>
  </si>
  <si>
    <t>Vertical</t>
  </si>
  <si>
    <t>Sloping</t>
  </si>
  <si>
    <t>Horizontal</t>
  </si>
  <si>
    <t>Dirty Industrial Area</t>
  </si>
  <si>
    <t>Angle of visible sky from the mid-point of the window</t>
  </si>
  <si>
    <t>Room Surface</t>
  </si>
  <si>
    <t>Recommended Reflectance</t>
  </si>
  <si>
    <t>Walls</t>
  </si>
  <si>
    <r>
      <rPr>
        <b/>
        <sz val="10"/>
        <rFont val="Arial"/>
        <family val="2"/>
      </rPr>
      <t>Recommended average reflectance values</t>
    </r>
    <r>
      <rPr>
        <sz val="10"/>
        <rFont val="Arial"/>
        <family val="2"/>
      </rPr>
      <t xml:space="preserve"> </t>
    </r>
  </si>
  <si>
    <t>Source: CIBSE Guide F Energy Efficiency in Buildings</t>
  </si>
  <si>
    <r>
      <rPr>
        <b/>
        <sz val="10"/>
        <rFont val="Arial"/>
        <family val="2"/>
      </rPr>
      <t>Maintenance factors</t>
    </r>
    <r>
      <rPr>
        <sz val="10"/>
        <rFont val="Arial"/>
        <family val="2"/>
      </rPr>
      <t xml:space="preserve"> </t>
    </r>
  </si>
  <si>
    <t>Source: Introduction to Architectural Science. Steven V. Szokolay</t>
  </si>
  <si>
    <t xml:space="preserve">E-3 </t>
  </si>
  <si>
    <t>Title</t>
  </si>
  <si>
    <t xml:space="preserve">Drinking Water </t>
  </si>
  <si>
    <t>Instructions</t>
  </si>
  <si>
    <t>Graphical Results</t>
  </si>
  <si>
    <t>Comments</t>
  </si>
  <si>
    <t>Management</t>
  </si>
  <si>
    <t>Water Use Through Fixtures Reduction (%)</t>
  </si>
  <si>
    <t xml:space="preserve">Innovation credits are considered on a case by case basis. </t>
  </si>
  <si>
    <t>LOTUS credit</t>
  </si>
  <si>
    <t>No documentation needs to be submitted here</t>
  </si>
  <si>
    <t xml:space="preserve">The VGBC reserves the right to not award points where adequate justification for the innovative nature of the strategy and environmental benefit cannot be provided. </t>
  </si>
  <si>
    <t>For this reason it is advisable to confirm the proposed innovation credit nature, thresholds and submittal requirements with the LOTUS team at any time prior to submittal.</t>
  </si>
  <si>
    <t>H-5</t>
  </si>
  <si>
    <t>Acoustic Comfort</t>
  </si>
  <si>
    <t>Glazing Type</t>
  </si>
  <si>
    <t>Glazing Transmission</t>
  </si>
  <si>
    <t>Single-Glazed</t>
  </si>
  <si>
    <t>Clear</t>
  </si>
  <si>
    <t>Tinted</t>
  </si>
  <si>
    <t>Reflective</t>
  </si>
  <si>
    <t>Double-Glazed</t>
  </si>
  <si>
    <t>High-solar-gain low-E</t>
  </si>
  <si>
    <t>Low-solar-gain low-E</t>
  </si>
  <si>
    <t>Visible light transmission</t>
  </si>
  <si>
    <t>Source: Efficient Windows Collaborative</t>
  </si>
  <si>
    <t>Evidence of low VOC products installed such as photographs, invoices, receipts, etc.</t>
  </si>
  <si>
    <t>• Toilet partitions; shower partitions including shower screens</t>
  </si>
  <si>
    <t>This credit takes into account all the following materials:</t>
  </si>
  <si>
    <t xml:space="preserve">• Wall coverings, such as ceramic tiles. </t>
  </si>
  <si>
    <t xml:space="preserve">Are excluded from the credit: </t>
  </si>
  <si>
    <t xml:space="preserve">• wall coverings such as paint, paper, vinyl and textile </t>
  </si>
  <si>
    <t>• Skirting</t>
  </si>
  <si>
    <t>• Internal stairs</t>
  </si>
  <si>
    <t>• insulation</t>
  </si>
  <si>
    <t>• Walls and partitions (non-load bearing space dividers)</t>
  </si>
  <si>
    <r>
      <t xml:space="preserve">Some credits can be satisfied through different </t>
    </r>
    <r>
      <rPr>
        <b/>
        <sz val="11"/>
        <color theme="1"/>
        <rFont val="Calibri"/>
        <family val="2"/>
        <scheme val="minor"/>
      </rPr>
      <t>options</t>
    </r>
    <r>
      <rPr>
        <sz val="11"/>
        <color theme="1"/>
        <rFont val="Calibri"/>
        <family val="2"/>
        <scheme val="minor"/>
      </rPr>
      <t xml:space="preserve"> or </t>
    </r>
    <r>
      <rPr>
        <b/>
        <sz val="11"/>
        <color theme="1"/>
        <rFont val="Calibri"/>
        <family val="2"/>
        <scheme val="minor"/>
      </rPr>
      <t>strategies</t>
    </r>
    <r>
      <rPr>
        <sz val="11"/>
        <color theme="1"/>
        <rFont val="Calibri"/>
        <family val="2"/>
        <scheme val="minor"/>
      </rPr>
      <t xml:space="preserve">. A project can select only one </t>
    </r>
    <r>
      <rPr>
        <b/>
        <sz val="11"/>
        <color theme="1"/>
        <rFont val="Calibri"/>
        <family val="2"/>
        <scheme val="minor"/>
      </rPr>
      <t>option</t>
    </r>
    <r>
      <rPr>
        <sz val="11"/>
        <color theme="1"/>
        <rFont val="Calibri"/>
        <family val="2"/>
        <scheme val="minor"/>
      </rPr>
      <t xml:space="preserve"> with its assigned points. A project can implement any or all </t>
    </r>
    <r>
      <rPr>
        <b/>
        <sz val="11"/>
        <color theme="1"/>
        <rFont val="Calibri"/>
        <family val="2"/>
        <scheme val="minor"/>
      </rPr>
      <t>strategies</t>
    </r>
    <r>
      <rPr>
        <sz val="11"/>
        <color theme="1"/>
        <rFont val="Calibri"/>
        <family val="2"/>
        <scheme val="minor"/>
      </rPr>
      <t xml:space="preserve"> and accumulate points for the credit (while being restricted by the maximum number of points).</t>
    </r>
  </si>
  <si>
    <t>Opening with adjoining room?</t>
  </si>
  <si>
    <t>Mixed-mode ventilated spaces are spaces where both mechanical and natural ventilation processes are used in combination.</t>
  </si>
  <si>
    <t>If yes, which one(s)?</t>
  </si>
  <si>
    <t>Naturally ventilated spaces:</t>
  </si>
  <si>
    <t>Admin</t>
  </si>
  <si>
    <t>Submission content</t>
  </si>
  <si>
    <t>Submission delivery</t>
  </si>
  <si>
    <t>Please confirm</t>
  </si>
  <si>
    <t>Pre-assessment stage checklist</t>
  </si>
  <si>
    <t>Submission presentation</t>
  </si>
  <si>
    <t>Respect the following requirements:</t>
  </si>
  <si>
    <t>All documents are legible (drawings, plans, photographs when showing written information, etc.)</t>
  </si>
  <si>
    <t>Create a zip file containing all the credit folders and other documentation.</t>
  </si>
  <si>
    <t>Upload the zip file on a file hosting website (such as dropbox) and send the link to VGBC by email -OR- include the file on a CD/flash drive and send by mail to VGBC.</t>
  </si>
  <si>
    <t>Dishwasher</t>
  </si>
  <si>
    <t>General Instructions on the User Tool</t>
  </si>
  <si>
    <r>
      <rPr>
        <sz val="11"/>
        <rFont val="Symbol"/>
        <family val="1"/>
        <charset val="2"/>
      </rPr>
      <t>®</t>
    </r>
    <r>
      <rPr>
        <sz val="11"/>
        <rFont val="Calibri"/>
        <family val="2"/>
        <scheme val="minor"/>
      </rPr>
      <t xml:space="preserve"> Only light red-coloured cells need to be filled (this is valid for the whole tool)</t>
    </r>
  </si>
  <si>
    <t>2. How to use this Tool?</t>
  </si>
  <si>
    <t>The first certification level (LOTUS Certified) has been benchmarked at 40% of the total amount of points excluding bonus points. This value reflects a good first level of performance and the minimum required for certification. The following thresholds correspond to 55% (LOTUS Silver), 65% (LOTUS Gold) and 75% (LOTUS Platinum).</t>
  </si>
  <si>
    <t>Plans showing the vent column or the rooftop turbine vent with the dimensions</t>
  </si>
  <si>
    <r>
      <t>³</t>
    </r>
    <r>
      <rPr>
        <sz val="10"/>
        <color theme="1"/>
        <rFont val="Arial"/>
        <family val="2"/>
      </rPr>
      <t xml:space="preserve"> 4.5 kW and &lt; 7 kW</t>
    </r>
  </si>
  <si>
    <t>Compliant CO2 monitoring?</t>
  </si>
  <si>
    <t>E-2 Artificial Lighting</t>
  </si>
  <si>
    <t>E-3 Energy Efficient Appliances</t>
  </si>
  <si>
    <t xml:space="preserve">Sustainable Materials </t>
  </si>
  <si>
    <t>Sustainable Furniture Products</t>
  </si>
  <si>
    <t>H-6</t>
  </si>
  <si>
    <t>H-7</t>
  </si>
  <si>
    <t xml:space="preserve">Green Transportation </t>
  </si>
  <si>
    <t>Man-1</t>
  </si>
  <si>
    <t>Man-2</t>
  </si>
  <si>
    <t>Man-3</t>
  </si>
  <si>
    <t>Man-4</t>
  </si>
  <si>
    <t>Construction Stage</t>
  </si>
  <si>
    <t>Commissioning</t>
  </si>
  <si>
    <t>Maintenance</t>
  </si>
  <si>
    <t>Green Awareness and Behaviour</t>
  </si>
  <si>
    <t>External Views</t>
  </si>
  <si>
    <t>Thermal comfort</t>
  </si>
  <si>
    <t>Interior Plants</t>
  </si>
  <si>
    <t>Green cleaning</t>
  </si>
  <si>
    <t>LT-PR-1</t>
  </si>
  <si>
    <t xml:space="preserve">W-2 Drinking Water </t>
  </si>
  <si>
    <t>W-2 Drinking Water</t>
  </si>
  <si>
    <t>2. How to use this tool?</t>
  </si>
  <si>
    <t>Credit Criteria</t>
  </si>
  <si>
    <r>
      <rPr>
        <b/>
        <sz val="10"/>
        <rFont val="Arial"/>
        <family val="2"/>
      </rPr>
      <t xml:space="preserve">Strategy B: Public transportation </t>
    </r>
    <r>
      <rPr>
        <sz val="10"/>
        <rFont val="Arial"/>
        <family val="2"/>
      </rPr>
      <t xml:space="preserve">
Project space is located within a 500 m walking distance from one public transportation route OR within a 700 m walking distance of 2 different public transportation routes.</t>
    </r>
  </si>
  <si>
    <r>
      <rPr>
        <b/>
        <sz val="10"/>
        <rFont val="Arial"/>
        <family val="2"/>
      </rPr>
      <t>Strategy A: Bicycle friendly</t>
    </r>
    <r>
      <rPr>
        <sz val="10"/>
        <rFont val="Arial"/>
        <family val="2"/>
      </rPr>
      <t xml:space="preserve">
Project occupants have access to covered and secured bicycle parking spaces, shower facilities and lockers/personal storage space </t>
    </r>
  </si>
  <si>
    <t>Space cooling</t>
  </si>
  <si>
    <t>E-1 Space Cooling</t>
  </si>
  <si>
    <t>Strategy A: Natural Ventilation</t>
  </si>
  <si>
    <t>The following strategies can be used:</t>
  </si>
  <si>
    <t>• Replace existing fixtures with water efficient fixtures</t>
  </si>
  <si>
    <t>Appliance</t>
  </si>
  <si>
    <t>Residential equipment</t>
  </si>
  <si>
    <t>ENERGY STAR or performance equivalent</t>
  </si>
  <si>
    <t>Residential Clothes washer</t>
  </si>
  <si>
    <t>120 l per load</t>
  </si>
  <si>
    <t>Commercial equipment</t>
  </si>
  <si>
    <t>Commercial Clothes washer</t>
  </si>
  <si>
    <r>
      <t xml:space="preserve">1000 l per </t>
    </r>
    <r>
      <rPr>
        <sz val="10"/>
        <color theme="1"/>
        <rFont val="Arial"/>
        <family val="2"/>
      </rPr>
      <t>cubic meter of laundry</t>
    </r>
  </si>
  <si>
    <t>Commercial Prerinse Spray Valves</t>
  </si>
  <si>
    <t xml:space="preserve">≤ 4.9 l per minute </t>
  </si>
  <si>
    <t>Ice machine</t>
  </si>
  <si>
    <t>ENERGY STAR or performance equivalent and use either air-cooled or closed-loop cooling, such as chilled or condenser water system</t>
  </si>
  <si>
    <t>Kitchen equipment</t>
  </si>
  <si>
    <t>Undercounter</t>
  </si>
  <si>
    <t>≤ 6.0 liters/rack</t>
  </si>
  <si>
    <t>Stationary, single tank, door</t>
  </si>
  <si>
    <t>≤ 5.3 liters/rack</t>
  </si>
  <si>
    <t>Single tank, conveyor</t>
  </si>
  <si>
    <t>≤ 3.8 liters/rack</t>
  </si>
  <si>
    <t>Multiple tank, conveyor</t>
  </si>
  <si>
    <t>≤ 3.4 liters/rack</t>
  </si>
  <si>
    <t>Flight machine</t>
  </si>
  <si>
    <t>≤ 680 liters/hour</t>
  </si>
  <si>
    <t>Food steamer</t>
  </si>
  <si>
    <t>batch</t>
  </si>
  <si>
    <t>≤ 23 liters/hour/pan</t>
  </si>
  <si>
    <t>Cook-to-order</t>
  </si>
  <si>
    <t>≤ 38 liters/hour/pan</t>
  </si>
  <si>
    <t>Combination oven</t>
  </si>
  <si>
    <t>Countertop or stand</t>
  </si>
  <si>
    <t>≤ 13 liters/hour/pan</t>
  </si>
  <si>
    <t>Roll-in</t>
  </si>
  <si>
    <t>Residential dishwashers 
(standard and compact)</t>
  </si>
  <si>
    <t>The following types of furniture products are included in the scope of this credit:</t>
  </si>
  <si>
    <t>• Seatings (chairs, stools, benches, etc.)</t>
  </si>
  <si>
    <t>• Surfaces (tables, desks, etc.)</t>
  </si>
  <si>
    <t>• Work settings (workbench or workstation). Storage, shelving and screening elements which form part of the work setting, cannot be dissociated from the work setting.</t>
  </si>
  <si>
    <t>Materials with reused components</t>
  </si>
  <si>
    <t>% of reused components (by mass)</t>
  </si>
  <si>
    <t>Materials with recycled content</t>
  </si>
  <si>
    <t>Rapidly renewable material</t>
  </si>
  <si>
    <t>Furniture Product</t>
  </si>
  <si>
    <r>
      <rPr>
        <b/>
        <sz val="10"/>
        <rFont val="Arial"/>
        <family val="2"/>
      </rPr>
      <t>Strategy A: Appliances with Energy Efficiency labels</t>
    </r>
    <r>
      <rPr>
        <sz val="10"/>
        <rFont val="Arial"/>
        <family val="2"/>
      </rPr>
      <t xml:space="preserve">
For 1 point, 30% of appliances and equipment installed have an energy efficiency label
1 point for every additional 20% of appliances and equipment installed that have an energy efficiency label (up to 90%)</t>
    </r>
  </si>
  <si>
    <r>
      <rPr>
        <b/>
        <sz val="10"/>
        <rFont val="Arial"/>
        <family val="2"/>
      </rPr>
      <t>Strategy B: Plug load controls</t>
    </r>
    <r>
      <rPr>
        <sz val="10"/>
        <rFont val="Arial"/>
        <family val="2"/>
      </rPr>
      <t xml:space="preserve">
Install plug load controls for 50% of plug points</t>
    </r>
  </si>
  <si>
    <t>Application &amp; Implementation</t>
  </si>
  <si>
    <t xml:space="preserve">Strategy A: Appliances with Energy Efficiency labels </t>
  </si>
  <si>
    <t>Strategy B: Plug load controls</t>
  </si>
  <si>
    <t xml:space="preserve">Install plug load controls for at least 50% of plug points. </t>
  </si>
  <si>
    <t>Total number of plug points</t>
  </si>
  <si>
    <t>For hotel and motel rooms, key card systems that switch off electricity automatically can also be used as plug load controls.</t>
  </si>
  <si>
    <t>Total number of plug points controlled with an occupant sensor</t>
  </si>
  <si>
    <t>Total number of plug points controlled with a signal from another control</t>
  </si>
  <si>
    <t>Total number of plug points controlled with a schedule</t>
  </si>
  <si>
    <t>Total number of plug points controlled with a key card system</t>
  </si>
  <si>
    <t>Only for hotel and motel rooms:</t>
  </si>
  <si>
    <t>Percentage of plug points controlled [%]</t>
  </si>
  <si>
    <t xml:space="preserve">Total number of plug points designated for equipment requiring 24 hour operation or situated in spaces where an automatic shutoff would endanger the safety or security of the room or building occupants </t>
  </si>
  <si>
    <t>Compliant flush-out?</t>
  </si>
  <si>
    <t>Compliant interior plants?</t>
  </si>
  <si>
    <r>
      <t>Total occupied area [m</t>
    </r>
    <r>
      <rPr>
        <vertAlign val="superscript"/>
        <sz val="10"/>
        <color indexed="9"/>
        <rFont val="Arial"/>
        <family val="2"/>
      </rPr>
      <t>2</t>
    </r>
    <r>
      <rPr>
        <sz val="10"/>
        <color indexed="9"/>
        <rFont val="Arial"/>
        <family val="2"/>
      </rPr>
      <t>]</t>
    </r>
  </si>
  <si>
    <t>• Carefully selected interior plants: Plants should be suitable to indoor environments</t>
  </si>
  <si>
    <t>Plant species</t>
  </si>
  <si>
    <t>Width of the pot 
(mm)</t>
  </si>
  <si>
    <t>Suitable to indoor environments?</t>
  </si>
  <si>
    <t>Number of full time occupants</t>
  </si>
  <si>
    <r>
      <rPr>
        <sz val="10"/>
        <color theme="1"/>
        <rFont val="Calibri"/>
        <family val="2"/>
      </rPr>
      <t xml:space="preserve">≥ </t>
    </r>
    <r>
      <rPr>
        <sz val="10"/>
        <color theme="1"/>
        <rFont val="Arial"/>
        <family val="2"/>
      </rPr>
      <t xml:space="preserve">100 and &lt; 200 </t>
    </r>
  </si>
  <si>
    <r>
      <rPr>
        <sz val="10"/>
        <color theme="1"/>
        <rFont val="Calibri"/>
        <family val="2"/>
      </rPr>
      <t>&lt;</t>
    </r>
    <r>
      <rPr>
        <sz val="10"/>
        <color theme="1"/>
        <rFont val="Arial"/>
        <family val="2"/>
      </rPr>
      <t xml:space="preserve"> 100</t>
    </r>
  </si>
  <si>
    <t>≥ 200 and &lt; 250</t>
  </si>
  <si>
    <t>≥ 250 and &lt; 320</t>
  </si>
  <si>
    <t>≥ 320 and &lt; 400</t>
  </si>
  <si>
    <t>≥ 400 and &lt; 550</t>
  </si>
  <si>
    <t xml:space="preserve"> Total Plant units</t>
  </si>
  <si>
    <t>≥ 550</t>
  </si>
  <si>
    <t>Bed &amp; Vertical Planting</t>
  </si>
  <si>
    <t>Number of pot plants</t>
  </si>
  <si>
    <t>Determine number of equivalent pots based on a width of 250mm.</t>
  </si>
  <si>
    <t>Use Environmentally friendly cleaning products</t>
  </si>
  <si>
    <t>Name of the LOTUS AP</t>
  </si>
  <si>
    <t>LOTUS AP No. of Certificate</t>
  </si>
  <si>
    <t>Description of the tasks and responsibilities of the LOTUS AP</t>
  </si>
  <si>
    <t>Compliant LOTUS AP involvement?</t>
  </si>
  <si>
    <t>A LOTUS AP should be appointed with direct responsibility to ensure that all sustainable aspects of the project are met throughout the project design and construction.</t>
  </si>
  <si>
    <r>
      <rPr>
        <b/>
        <sz val="10"/>
        <rFont val="Arial"/>
        <family val="2"/>
      </rPr>
      <t>Strategy A: Air quality management</t>
    </r>
    <r>
      <rPr>
        <sz val="10"/>
        <rFont val="Arial"/>
        <family val="2"/>
      </rPr>
      <t xml:space="preserve">
Implement adequate mitigation measures to reduce indoor air quality (IAQ) impacts arising from fit-out activities</t>
    </r>
  </si>
  <si>
    <r>
      <rPr>
        <b/>
        <sz val="10"/>
        <rFont val="Arial"/>
        <family val="2"/>
      </rPr>
      <t>Strategy B: Environmental Management</t>
    </r>
    <r>
      <rPr>
        <sz val="10"/>
        <rFont val="Arial"/>
        <family val="2"/>
      </rPr>
      <t xml:space="preserve">
The main contractor has valid ISO14001 accreditation</t>
    </r>
  </si>
  <si>
    <r>
      <rPr>
        <b/>
        <sz val="10"/>
        <rFont val="Arial"/>
        <family val="2"/>
      </rPr>
      <t>Strategy D: Site safety and welfare</t>
    </r>
    <r>
      <rPr>
        <sz val="10"/>
        <rFont val="Arial"/>
        <family val="2"/>
      </rPr>
      <t xml:space="preserve">
Implement adequate measures to provide safety and welfare for construction workers</t>
    </r>
  </si>
  <si>
    <r>
      <rPr>
        <b/>
        <sz val="10"/>
        <rFont val="Arial"/>
        <family val="2"/>
      </rPr>
      <t>Strategy C: Construction Noise</t>
    </r>
    <r>
      <rPr>
        <sz val="10"/>
        <rFont val="Arial"/>
        <family val="2"/>
      </rPr>
      <t xml:space="preserve">
Implement adequate measures to reduce noise level arising from fit-out activities</t>
    </r>
  </si>
  <si>
    <t>Strategy A: Air quality management</t>
  </si>
  <si>
    <t>Strategy B: Environmental Management</t>
  </si>
  <si>
    <t>Compliant Environmental Management?</t>
  </si>
  <si>
    <t>Select a main contractor with valid ISO14001 Environmental Management System (EMS) accreditation throughout the construction phase of the project.</t>
  </si>
  <si>
    <t>Main Contractor</t>
  </si>
  <si>
    <t>Strategy D: Site safety and welfare</t>
  </si>
  <si>
    <t>For 1 point, 60% of all occupied spaces have an average daylight factor between 1.5% and 3.5%
For 2 points, 80% of all occupied spaces have an average daylight factor between 1.5% and 3.5%</t>
  </si>
  <si>
    <t>Occupied room name</t>
  </si>
  <si>
    <t>Strategies to consider to offer occupants a connection to the outdoors through vision glazing:</t>
  </si>
  <si>
    <t>• Locating open areas near the perimeter of the building</t>
  </si>
  <si>
    <t>• Locating unoccupied spaces within the core of the building</t>
  </si>
  <si>
    <t>• Application of glazing for internal partitions</t>
  </si>
  <si>
    <t>For this credit, a glazing can be considered as a vision glazing (or external view) only if:</t>
  </si>
  <si>
    <t>Natural light promoting designs strategies include:</t>
  </si>
  <si>
    <t>• Open plan design</t>
  </si>
  <si>
    <t>• it provides a clear image of the exterior, not obstructed by frits, fibers, patterned glazing, or added tints that distort color balance.</t>
  </si>
  <si>
    <t>• It is present between 0.8 m and 2.2 m above the finished floor; and</t>
  </si>
  <si>
    <t>Select the calculation method pursued:</t>
  </si>
  <si>
    <t xml:space="preserve">Daylight factor (DF) is the ratio of the light level inside a room to the light level outdoors.
It is used to assess the internal natural lighting levels as perceived on working planes or surfaces. </t>
  </si>
  <si>
    <t>Average DF [%]</t>
  </si>
  <si>
    <t xml:space="preserve">Average DF [%]
(from modelling) </t>
  </si>
  <si>
    <t>Manual shadings?</t>
  </si>
  <si>
    <t>Strategy A: Waste Diversion</t>
  </si>
  <si>
    <t>Percentage of sustainable furniture products [%]</t>
  </si>
  <si>
    <r>
      <rPr>
        <b/>
        <sz val="10"/>
        <rFont val="Arial"/>
        <family val="2"/>
      </rPr>
      <t xml:space="preserve">Option A: No Refrigerants or Low-Impact Refrigerants </t>
    </r>
    <r>
      <rPr>
        <sz val="10"/>
        <rFont val="Arial"/>
        <family val="2"/>
      </rPr>
      <t xml:space="preserve">
Do not use refrigerants, or use only refrigerants that have an ozone depletion potential (ODP) of zero and a global warming potential (GWP) of less than 50</t>
    </r>
  </si>
  <si>
    <t xml:space="preserve">Option C: Strategies to limit the Atmospheric Impact of the refrigerants used in the project </t>
  </si>
  <si>
    <r>
      <rPr>
        <b/>
        <sz val="10"/>
        <rFont val="Arial"/>
        <family val="2"/>
      </rPr>
      <t xml:space="preserve">Option B: Refrigerant Atmospheric Impact of HVAC systems </t>
    </r>
    <r>
      <rPr>
        <sz val="10"/>
        <rFont val="Arial"/>
        <family val="2"/>
      </rPr>
      <t xml:space="preserve">
Average Refrigerant Atmospheric Impact of all the air-conditioning systems installed in the building is below 11</t>
    </r>
  </si>
  <si>
    <t>Definitions</t>
  </si>
  <si>
    <t xml:space="preserve">Option A: No Refrigerants or Low-Impact Refrigerants </t>
  </si>
  <si>
    <t xml:space="preserve">Option B: Refrigerant Atmospheric Impact of HVAC systems </t>
  </si>
  <si>
    <t>System 1</t>
  </si>
  <si>
    <t>System 2</t>
  </si>
  <si>
    <t>System 3</t>
  </si>
  <si>
    <t>System 4</t>
  </si>
  <si>
    <t>System 5</t>
  </si>
  <si>
    <t>System 6</t>
  </si>
  <si>
    <t>System 7</t>
  </si>
  <si>
    <t>System 8</t>
  </si>
  <si>
    <t>Number of Units</t>
  </si>
  <si>
    <t>Refrigerant Type</t>
  </si>
  <si>
    <t>Annual Leakage Rate</t>
  </si>
  <si>
    <t>End of Life Refrigerant Loss</t>
  </si>
  <si>
    <t>Equipment Life</t>
  </si>
  <si>
    <t>Lifecycle ODP</t>
  </si>
  <si>
    <t>Lifecycle GWP</t>
  </si>
  <si>
    <t>Refrigerant atmospheric impact</t>
  </si>
  <si>
    <t>Refrigerant Charge Rc (kg/kW)</t>
  </si>
  <si>
    <t xml:space="preserve">Ozone Depletion Potential ODPr </t>
  </si>
  <si>
    <t>Annual Leakage Rate Lr (%)</t>
  </si>
  <si>
    <t>End of Life Refrigerant Loss Mr (%)</t>
  </si>
  <si>
    <t>Equipment Life (years)</t>
  </si>
  <si>
    <r>
      <t xml:space="preserve"> Cooling capacity Q</t>
    </r>
    <r>
      <rPr>
        <vertAlign val="subscript"/>
        <sz val="10"/>
        <color theme="0"/>
        <rFont val="Arial"/>
        <family val="2"/>
      </rPr>
      <t xml:space="preserve">unit </t>
    </r>
    <r>
      <rPr>
        <sz val="10"/>
        <color theme="0"/>
        <rFont val="Arial"/>
        <family val="2"/>
      </rPr>
      <t>(kW)</t>
    </r>
  </si>
  <si>
    <r>
      <t>Global Warming Potential GWPr</t>
    </r>
    <r>
      <rPr>
        <vertAlign val="subscript"/>
        <sz val="10"/>
        <color theme="0"/>
        <rFont val="Arial"/>
        <family val="2"/>
      </rPr>
      <t>100</t>
    </r>
    <r>
      <rPr>
        <sz val="10"/>
        <color theme="0"/>
        <rFont val="Arial"/>
        <family val="2"/>
      </rPr>
      <t xml:space="preserve"> </t>
    </r>
  </si>
  <si>
    <t>Total refrigerant charge (kg)</t>
  </si>
  <si>
    <r>
      <rPr>
        <sz val="10"/>
        <rFont val="Calibri"/>
        <family val="2"/>
      </rPr>
      <t>•</t>
    </r>
    <r>
      <rPr>
        <sz val="10"/>
        <rFont val="Arial"/>
        <family val="2"/>
      </rPr>
      <t xml:space="preserve"> Select equipment which uses a low refrigerant charge (centralised direct expansion systems to be avoided) </t>
    </r>
  </si>
  <si>
    <r>
      <rPr>
        <sz val="10"/>
        <rFont val="Calibri"/>
        <family val="2"/>
      </rPr>
      <t>•</t>
    </r>
    <r>
      <rPr>
        <sz val="10"/>
        <rFont val="Arial"/>
        <family val="2"/>
      </rPr>
      <t xml:space="preserve"> Select equipment which can ensure a lower leakage rate of the refrigerant (under 2% per year)</t>
    </r>
  </si>
  <si>
    <r>
      <rPr>
        <sz val="10"/>
        <rFont val="Calibri"/>
        <family val="2"/>
      </rPr>
      <t>•</t>
    </r>
    <r>
      <rPr>
        <sz val="10"/>
        <rFont val="Arial"/>
        <family val="2"/>
      </rPr>
      <t xml:space="preserve"> Select refrigerants that have a limited atmospheric impact. In general, such refrigerants should have both low GWP</t>
    </r>
    <r>
      <rPr>
        <vertAlign val="subscript"/>
        <sz val="10"/>
        <rFont val="Arial"/>
        <family val="2"/>
      </rPr>
      <t>100</t>
    </r>
    <r>
      <rPr>
        <sz val="10"/>
        <rFont val="Arial"/>
        <family val="2"/>
      </rPr>
      <t xml:space="preserve"> values (under 2000) and ODP values of 0. </t>
    </r>
  </si>
  <si>
    <t>Strategy B: Reduction of Waste Generation</t>
  </si>
  <si>
    <t xml:space="preserve">Perform a flush-out procedure prior to occupancy. </t>
  </si>
  <si>
    <t>The flush-out shall be continuous with a minimum fresh air supply rate no less than the design minimum (as calculated in credit H-1). The TAC required shall be supplied prior to occupancy.</t>
  </si>
  <si>
    <t>Select the flush-out option pursued:</t>
  </si>
  <si>
    <t xml:space="preserve">All accessible supply air ductwork has to be cleaned to remove dust, dirt and mould prior to occupancy. </t>
  </si>
  <si>
    <t xml:space="preserve">Projects may follow an alternative procedure and perform a baseline IAQ monitoring. This shall be subject to VGBC approval. </t>
  </si>
  <si>
    <t>Ceiling height (m)</t>
  </si>
  <si>
    <t xml:space="preserve">Minimum fresh air supply rate (L/s) </t>
  </si>
  <si>
    <t>Precise type of facilities/amenities:</t>
  </si>
  <si>
    <t>Compliant access to facilities and amenities?</t>
  </si>
  <si>
    <r>
      <rPr>
        <b/>
        <sz val="10"/>
        <rFont val="Arial"/>
        <family val="2"/>
      </rPr>
      <t>Option B: Green lease</t>
    </r>
    <r>
      <rPr>
        <sz val="10"/>
        <rFont val="Arial"/>
        <family val="2"/>
      </rPr>
      <t xml:space="preserve">
A green lease is signed with the landlord </t>
    </r>
  </si>
  <si>
    <r>
      <rPr>
        <b/>
        <sz val="10"/>
        <rFont val="Arial"/>
        <family val="2"/>
      </rPr>
      <t>Option A: Long-term lease</t>
    </r>
    <r>
      <rPr>
        <sz val="10"/>
        <rFont val="Arial"/>
        <family val="2"/>
      </rPr>
      <t xml:space="preserve">
The fixed term period of the lease is at least 6 years</t>
    </r>
  </si>
  <si>
    <t>Strategy D: Composite wood products</t>
  </si>
  <si>
    <t xml:space="preserve">Strategy A: Environmentally friendly waste management system </t>
  </si>
  <si>
    <t>Strategy B: Dedicated recycling storage area</t>
  </si>
  <si>
    <t>• Walk-in refrigerators</t>
  </si>
  <si>
    <t>• Walk-in freezers</t>
  </si>
  <si>
    <t>• Refrigerated casework</t>
  </si>
  <si>
    <t>To reduce the average Refrigerant Atmospheric Impact of air-conditioning systems, projects are encouraged to:</t>
  </si>
  <si>
    <t>System Type</t>
  </si>
  <si>
    <r>
      <t>GWP</t>
    </r>
    <r>
      <rPr>
        <vertAlign val="subscript"/>
        <sz val="10"/>
        <color theme="0"/>
        <rFont val="Arial"/>
        <family val="2"/>
      </rPr>
      <t>100</t>
    </r>
  </si>
  <si>
    <t>Refrigerant type</t>
  </si>
  <si>
    <t>ODP</t>
  </si>
  <si>
    <t xml:space="preserve">Refrigerant </t>
  </si>
  <si>
    <t>Commercial Refrigeration System</t>
  </si>
  <si>
    <r>
      <t>All refrigerants with a GWP</t>
    </r>
    <r>
      <rPr>
        <vertAlign val="subscript"/>
        <sz val="10"/>
        <color theme="0"/>
        <rFont val="Arial"/>
        <family val="2"/>
      </rPr>
      <t>100</t>
    </r>
    <r>
      <rPr>
        <sz val="10"/>
        <color theme="0"/>
        <rFont val="Arial"/>
        <family val="2"/>
      </rPr>
      <t xml:space="preserve"> below 2000 and an ODP ≤ 0.02?</t>
    </r>
  </si>
  <si>
    <t>Any centralised direct expansion systems used?</t>
  </si>
  <si>
    <t>Refrigerant charge (kg)</t>
  </si>
  <si>
    <t>Is an indirect (secondary) system used ?</t>
  </si>
  <si>
    <t>More than 50% (by mass) of natural refrigerants or HFOs?</t>
  </si>
  <si>
    <r>
      <t>Gross Floor Area (m</t>
    </r>
    <r>
      <rPr>
        <vertAlign val="superscript"/>
        <sz val="10"/>
        <color rgb="FFFFFFFF"/>
        <rFont val="Arial"/>
        <family val="2"/>
      </rPr>
      <t>2</t>
    </r>
    <r>
      <rPr>
        <sz val="10"/>
        <color rgb="FFFFFFFF"/>
        <rFont val="Arial"/>
        <family val="2"/>
      </rPr>
      <t>)</t>
    </r>
  </si>
  <si>
    <t>Dedicated Recycling Area (% of GFA)</t>
  </si>
  <si>
    <t>Strategy A : External views</t>
  </si>
  <si>
    <t xml:space="preserve">Strategy B : Quality views </t>
  </si>
  <si>
    <r>
      <t>Area of the room (m</t>
    </r>
    <r>
      <rPr>
        <vertAlign val="superscript"/>
        <sz val="10"/>
        <color indexed="9"/>
        <rFont val="Arial"/>
        <family val="2"/>
      </rPr>
      <t>2</t>
    </r>
    <r>
      <rPr>
        <sz val="10"/>
        <color indexed="9"/>
        <rFont val="Arial"/>
        <family val="2"/>
      </rPr>
      <t>)</t>
    </r>
  </si>
  <si>
    <t>1. Define the project and objectives</t>
  </si>
  <si>
    <t>2. Selection of targeted credits</t>
  </si>
  <si>
    <t>3. Credit Compliance</t>
  </si>
  <si>
    <t>Projects are not required to follow these recommendations;  they are only given for information purpose.</t>
  </si>
  <si>
    <t>Step 2: identify the objectives of the project:</t>
  </si>
  <si>
    <t>It helps to base the Selection of credits on the following criteria:</t>
  </si>
  <si>
    <t>• Feasibility: Not all credits are applicable for all projects</t>
  </si>
  <si>
    <t>• Simplicity: Some credits can be quite challenging when others are straight forward</t>
  </si>
  <si>
    <t>• Compatibility with owner requirements (comfort, budget, etc.)</t>
  </si>
  <si>
    <t>1. Before deciding the credits to target, go through the User Tool and test the credits to understand requirements.</t>
  </si>
  <si>
    <t>2. Always keep a safety net by targeting more credits than needed to reach the desired Certification Level.</t>
  </si>
  <si>
    <t>3. Ideally, the whole project team should contribute to the selection of targeted credits before the beginning of the design stage.</t>
  </si>
  <si>
    <t>3. Credit compliance</t>
  </si>
  <si>
    <t>After selecting the credits,make sure that the project will comply with all credit requirements.</t>
  </si>
  <si>
    <t>To comply with a credit, projects must:</t>
  </si>
  <si>
    <t>• achieve the required performance</t>
  </si>
  <si>
    <t>• provide documentation demonstrating that the requirements are achieved</t>
  </si>
  <si>
    <t>1. Always make sure that requirements will be achieved by completing the information in the User Tool as early as possible.</t>
  </si>
  <si>
    <t>FC</t>
  </si>
  <si>
    <t>PC (optional)</t>
  </si>
  <si>
    <t xml:space="preserve">The project must be clearly distinct from other spaces within the same building with regards to at least one of the following characteristics: ownership, management, lease, or party wall separation. The owner of the project must be different from the owner of the building. </t>
  </si>
  <si>
    <t>The project must include a complete interior space. Project components are not eligible.</t>
  </si>
  <si>
    <t>Project should show a 3-years lease contract or commit that the area will be used as the same function for a minimum of 3-years period starting from the achievement of LOTUS Certification.</t>
  </si>
  <si>
    <t>Number of full-time occupants</t>
  </si>
  <si>
    <t>Does the project install some lighting fixtures in the space?</t>
  </si>
  <si>
    <t>Does the project install some sanitaryware products in the space?</t>
  </si>
  <si>
    <t>Does the project install some HVAC systems in the space?</t>
  </si>
  <si>
    <t>Does the project install some refrigeration systems (not stand-alone equipment) in the space?</t>
  </si>
  <si>
    <t>Pre-assessment stage (optional)</t>
  </si>
  <si>
    <t>2. Notify relevant parties as early as possible about specific documentation requirements.</t>
  </si>
  <si>
    <t>• office spaces</t>
  </si>
  <si>
    <t>• retail spaces (supermarkets, shops, etc.) and restaurants</t>
  </si>
  <si>
    <t>• hospitality spaces (spaces dedicated to businesses within the service industry that provide transitional or short-term lodging)</t>
  </si>
  <si>
    <t xml:space="preserve">• health facilities including clinics, etc. </t>
  </si>
  <si>
    <t>• educational facilities</t>
  </si>
  <si>
    <t>Provisional Certification stage checklist</t>
  </si>
  <si>
    <t>Signed Certification Agreement received by the VGBC</t>
  </si>
  <si>
    <t>Certification fee received by the VGBC</t>
  </si>
  <si>
    <t>All relevant communication with the VGBC (technical queries, credit interpretations, etc.)</t>
  </si>
  <si>
    <t>Credit folders with all required documentation for all targeted credits</t>
  </si>
  <si>
    <t>All documents (except technical data) are dated</t>
  </si>
  <si>
    <t>All drawings, plans, elevations or other documentation drawn by hand must be signed</t>
  </si>
  <si>
    <t>Before introducing the different sheets composing this user form, please note these  important considerations:</t>
  </si>
  <si>
    <t xml:space="preserve">The User Tool is a template which allows the applicant to: </t>
  </si>
  <si>
    <t>• select the targeted credits</t>
  </si>
  <si>
    <t>• perform the calculations required in the credits</t>
  </si>
  <si>
    <t>• have a complete overview of the LOTUS Interiors system</t>
  </si>
  <si>
    <t>Strategy E: Alternative strategies</t>
  </si>
  <si>
    <r>
      <t xml:space="preserve">• </t>
    </r>
    <r>
      <rPr>
        <sz val="7"/>
        <color rgb="FF000000"/>
        <rFont val="Arial"/>
        <family val="2"/>
      </rPr>
      <t xml:space="preserve"> </t>
    </r>
    <r>
      <rPr>
        <sz val="10"/>
        <color rgb="FF000000"/>
        <rFont val="Arial"/>
        <family val="2"/>
      </rPr>
      <t>Design Solutions for resource efficiency</t>
    </r>
  </si>
  <si>
    <r>
      <t xml:space="preserve">• </t>
    </r>
    <r>
      <rPr>
        <sz val="10"/>
        <color rgb="FF000000"/>
        <rFont val="Arial"/>
        <family val="2"/>
      </rPr>
      <t>Material Procurement</t>
    </r>
  </si>
  <si>
    <r>
      <t xml:space="preserve">• </t>
    </r>
    <r>
      <rPr>
        <sz val="7"/>
        <color rgb="FF000000"/>
        <rFont val="Arial"/>
        <family val="2"/>
      </rPr>
      <t xml:space="preserve"> </t>
    </r>
    <r>
      <rPr>
        <sz val="10"/>
        <color rgb="FF000000"/>
        <rFont val="Arial"/>
        <family val="2"/>
      </rPr>
      <t>Construction Logistics</t>
    </r>
  </si>
  <si>
    <r>
      <t xml:space="preserve">• </t>
    </r>
    <r>
      <rPr>
        <sz val="10"/>
        <color rgb="FF000000"/>
        <rFont val="Arial"/>
        <family val="2"/>
      </rPr>
      <t>Offsite Construction</t>
    </r>
  </si>
  <si>
    <r>
      <t xml:space="preserve">• </t>
    </r>
    <r>
      <rPr>
        <sz val="10"/>
        <color rgb="FF000000"/>
        <rFont val="Arial"/>
        <family val="2"/>
      </rPr>
      <t>Packaging</t>
    </r>
  </si>
  <si>
    <t>Compliant Reduction of Waste Generation?</t>
  </si>
  <si>
    <t>Select the unit used for the credit:</t>
  </si>
  <si>
    <t>The selected unit must be applied consistently for all materials throughout the calculations.</t>
  </si>
  <si>
    <r>
      <t>Specify and install a CO</t>
    </r>
    <r>
      <rPr>
        <b/>
        <vertAlign val="subscript"/>
        <sz val="10"/>
        <rFont val="Arial"/>
        <family val="2"/>
      </rPr>
      <t>2</t>
    </r>
    <r>
      <rPr>
        <b/>
        <sz val="10"/>
        <rFont val="Arial"/>
        <family val="2"/>
      </rPr>
      <t xml:space="preserve"> monitoring system. </t>
    </r>
  </si>
  <si>
    <t>Occupied room</t>
  </si>
  <si>
    <t xml:space="preserve">Location of the sensors </t>
  </si>
  <si>
    <r>
      <t>Number of CO</t>
    </r>
    <r>
      <rPr>
        <vertAlign val="subscript"/>
        <sz val="10"/>
        <color indexed="9"/>
        <rFont val="Arial"/>
        <family val="2"/>
      </rPr>
      <t>2</t>
    </r>
    <r>
      <rPr>
        <sz val="10"/>
        <color indexed="9"/>
        <rFont val="Arial"/>
        <family val="2"/>
      </rPr>
      <t xml:space="preserve"> sensors installed </t>
    </r>
  </si>
  <si>
    <r>
      <t>CO</t>
    </r>
    <r>
      <rPr>
        <vertAlign val="subscript"/>
        <sz val="10"/>
        <color indexed="9"/>
        <rFont val="Arial"/>
        <family val="2"/>
      </rPr>
      <t>2</t>
    </r>
    <r>
      <rPr>
        <sz val="10"/>
        <color indexed="9"/>
        <rFont val="Arial"/>
        <family val="2"/>
      </rPr>
      <t xml:space="preserve"> monitoring technique</t>
    </r>
  </si>
  <si>
    <r>
      <rPr>
        <u/>
        <sz val="10"/>
        <rFont val="Arial"/>
        <family val="2"/>
      </rPr>
      <t>Technique 1</t>
    </r>
    <r>
      <rPr>
        <sz val="10"/>
        <rFont val="Arial"/>
        <family val="2"/>
      </rPr>
      <t>: Install permanent CO</t>
    </r>
    <r>
      <rPr>
        <vertAlign val="subscript"/>
        <sz val="10"/>
        <rFont val="Arial"/>
        <family val="2"/>
      </rPr>
      <t>2</t>
    </r>
    <r>
      <rPr>
        <sz val="10"/>
        <rFont val="Arial"/>
        <family val="2"/>
      </rPr>
      <t xml:space="preserve"> sensors integrated with building automation systems to ensure continuous adjustments of the fresh air supply </t>
    </r>
  </si>
  <si>
    <r>
      <t>CO</t>
    </r>
    <r>
      <rPr>
        <vertAlign val="subscript"/>
        <sz val="10"/>
        <color indexed="9"/>
        <rFont val="Arial"/>
        <family val="2"/>
      </rPr>
      <t>2max</t>
    </r>
    <r>
      <rPr>
        <sz val="10"/>
        <color indexed="9"/>
        <rFont val="Arial"/>
        <family val="2"/>
      </rPr>
      <t xml:space="preserve"> concentration</t>
    </r>
  </si>
  <si>
    <r>
      <rPr>
        <sz val="11"/>
        <rFont val="Symbol"/>
        <family val="1"/>
        <charset val="2"/>
      </rPr>
      <t>®</t>
    </r>
    <r>
      <rPr>
        <sz val="11"/>
        <rFont val="Calibri"/>
        <family val="2"/>
        <scheme val="minor"/>
      </rPr>
      <t xml:space="preserve"> Read the Introduction, Instructions and Recommendations sheets before proceeding with credit selection.</t>
    </r>
  </si>
  <si>
    <t>3. Enquiries</t>
  </si>
  <si>
    <t xml:space="preserve">Navigation </t>
  </si>
  <si>
    <t>2. Eligibility</t>
  </si>
  <si>
    <t>4. Credits</t>
  </si>
  <si>
    <t>3. Categories</t>
  </si>
  <si>
    <t>1. Scope</t>
  </si>
  <si>
    <r>
      <t>Gross Floor Area (m</t>
    </r>
    <r>
      <rPr>
        <vertAlign val="superscript"/>
        <sz val="11"/>
        <rFont val="Arial"/>
        <family val="2"/>
      </rPr>
      <t>2</t>
    </r>
    <r>
      <rPr>
        <sz val="11"/>
        <rFont val="Arial"/>
        <family val="2"/>
      </rPr>
      <t>)</t>
    </r>
  </si>
  <si>
    <t>Have the following strategies been considered and implemented?</t>
  </si>
  <si>
    <t>Submission stage</t>
  </si>
  <si>
    <t>Pre-assessment stage</t>
  </si>
  <si>
    <t>CHOSEN</t>
  </si>
  <si>
    <t>No evidence required at this submission stage</t>
  </si>
  <si>
    <t>E-3 Strategy A</t>
  </si>
  <si>
    <t>E-3 Strategy B</t>
  </si>
  <si>
    <t>Provide drinking water filtration system to avoid the use of plastic bottled water</t>
  </si>
  <si>
    <t>Details (if other filter types)</t>
  </si>
  <si>
    <t>As-built schematic mechanical drawings showing fresh air supply rates</t>
  </si>
  <si>
    <t>% of occupied area compliant</t>
  </si>
  <si>
    <t>Compliant Green cleaning?</t>
  </si>
  <si>
    <t>In case the interior project space has only one or no solar exposures, only provide control zones for areas with different usage/occupancy needs</t>
  </si>
  <si>
    <t>Minimum TAC to supply to the occupied spaces</t>
  </si>
  <si>
    <t>This option is not applicable if the ductwork is new or if the project space is not served by supply air ductwork.</t>
  </si>
  <si>
    <t>Compliant air supply ductwork cleaning?</t>
  </si>
  <si>
    <t xml:space="preserve">City </t>
  </si>
  <si>
    <t>Project ID (when registered)</t>
  </si>
  <si>
    <t>PROJECT GENERAL INFORMATION</t>
  </si>
  <si>
    <t>SUBMISSION STAGE</t>
  </si>
  <si>
    <t>Project typologies</t>
  </si>
  <si>
    <r>
      <t>GFA (m</t>
    </r>
    <r>
      <rPr>
        <vertAlign val="superscript"/>
        <sz val="11"/>
        <rFont val="Arial"/>
        <family val="2"/>
      </rPr>
      <t>2</t>
    </r>
    <r>
      <rPr>
        <sz val="11"/>
        <rFont val="Arial"/>
        <family val="2"/>
      </rPr>
      <t>)</t>
    </r>
  </si>
  <si>
    <t>PROJECT TEAM</t>
  </si>
  <si>
    <t>Architect</t>
  </si>
  <si>
    <t>M&amp;E Engineer</t>
  </si>
  <si>
    <t>Project Manager</t>
  </si>
  <si>
    <t>Other (precise)</t>
  </si>
  <si>
    <t>Applicant</t>
  </si>
  <si>
    <t>Address of project</t>
  </si>
  <si>
    <t>PROJECT SPACE INFORMATION</t>
  </si>
  <si>
    <t>PROJECT SYSTEMS AND EQUIPMENT</t>
  </si>
  <si>
    <t>APPLICANT INFORMATION</t>
  </si>
  <si>
    <t>Applicant Representative</t>
  </si>
  <si>
    <t>PROJECT DESCRIPTION</t>
  </si>
  <si>
    <t>Description of the project</t>
  </si>
  <si>
    <t>Please make sure the checklist below is completed before sending submissions to VGBC for Provisional Certification.</t>
  </si>
  <si>
    <t>An environmentally friendly waste management system should be developed.</t>
  </si>
  <si>
    <t>The storage area may be provided in the interior project design or provided in the base building.</t>
  </si>
  <si>
    <t>Provide quality views to the occupied areas.</t>
  </si>
  <si>
    <t>Plant unit number</t>
  </si>
  <si>
    <t>Environmentally friendly cleaning products are less hazardous and less toxic cleaning products.</t>
  </si>
  <si>
    <r>
      <rPr>
        <sz val="11"/>
        <rFont val="Arial"/>
        <family val="2"/>
      </rPr>
      <t>•</t>
    </r>
    <r>
      <rPr>
        <sz val="10"/>
        <rFont val="Arial"/>
        <family val="2"/>
      </rPr>
      <t xml:space="preserve"> Green Specifications from EPD Hong Kong</t>
    </r>
  </si>
  <si>
    <t>Cleaning product type</t>
  </si>
  <si>
    <r>
      <rPr>
        <sz val="10"/>
        <rFont val="Calibri"/>
        <family val="2"/>
      </rPr>
      <t>•</t>
    </r>
    <r>
      <rPr>
        <sz val="10"/>
        <rFont val="Arial"/>
        <family val="2"/>
      </rPr>
      <t xml:space="preserve"> Safer Choice (US EPA)</t>
    </r>
  </si>
  <si>
    <r>
      <rPr>
        <sz val="10"/>
        <rFont val="Calibri"/>
        <family val="2"/>
      </rPr>
      <t>•</t>
    </r>
    <r>
      <rPr>
        <sz val="10"/>
        <rFont val="Arial"/>
        <family val="2"/>
      </rPr>
      <t xml:space="preserve"> Singapore Green Labelling Scheme</t>
    </r>
  </si>
  <si>
    <r>
      <rPr>
        <sz val="10"/>
        <rFont val="Calibri"/>
        <family val="2"/>
      </rPr>
      <t>•</t>
    </r>
    <r>
      <rPr>
        <sz val="10"/>
        <rFont val="Arial"/>
        <family val="2"/>
      </rPr>
      <t xml:space="preserve"> Green Seal</t>
    </r>
  </si>
  <si>
    <t xml:space="preserve">Conduct a post-occupancy comfort survey of building occupants within 3 to 6 months after occupancy. </t>
  </si>
  <si>
    <t>Number of responses received</t>
  </si>
  <si>
    <t>1
Very Bad</t>
  </si>
  <si>
    <t>2
Bad</t>
  </si>
  <si>
    <t>3
Satisfactory</t>
  </si>
  <si>
    <t>4
Good</t>
  </si>
  <si>
    <t>5
Excellent</t>
  </si>
  <si>
    <t>Comfort Category</t>
  </si>
  <si>
    <t>Thermal Comfort</t>
  </si>
  <si>
    <t>Air Temperature</t>
  </si>
  <si>
    <t>Humidity</t>
  </si>
  <si>
    <t>Air speed</t>
  </si>
  <si>
    <t>Air odour</t>
  </si>
  <si>
    <t>Exterior noise</t>
  </si>
  <si>
    <t>Interior noise</t>
  </si>
  <si>
    <t>Overall Comfort</t>
  </si>
  <si>
    <t>Lighting Comfort</t>
  </si>
  <si>
    <t>This survey should collect anonymous responses about thermal comfort, air quality, lighting comfort and acoustic comfort in interior spaces.</t>
  </si>
  <si>
    <t>Compliant post-occupancy comfort?</t>
  </si>
  <si>
    <t>Average overall satisfaction</t>
  </si>
  <si>
    <t>Enter the number of respondants who ticked the different cells below:</t>
  </si>
  <si>
    <t>If occupants’ average overall satisfaction score from the post-occupancy survey is less than 3 out of 5, develop an action plan based on the responses.</t>
  </si>
  <si>
    <t>Lighting level</t>
  </si>
  <si>
    <t>Glare</t>
  </si>
  <si>
    <t>Option A: Long-term lease</t>
  </si>
  <si>
    <t>Strategy A: Bicycle friendly</t>
  </si>
  <si>
    <t>Strategy B: Public transportation</t>
  </si>
  <si>
    <t>In which location?</t>
  </si>
  <si>
    <t>Provide occupants with access to covered and secured bicycle parking spaces, shower facilities and lockers/personal storage space</t>
  </si>
  <si>
    <t>Bicycle friendly compliant?</t>
  </si>
  <si>
    <t>Number of routes served</t>
  </si>
  <si>
    <t>Public transportation service</t>
  </si>
  <si>
    <t>Public transportation services include: (proposed) metro stations and bus stops.</t>
  </si>
  <si>
    <t>Compliant public transportation?</t>
  </si>
  <si>
    <t>Walking distance from building (m)</t>
  </si>
  <si>
    <t>Project space is located within a 500 m walking distance from one public transportation route OR within a 700 m walking distance of 2 different public transportation routes</t>
  </si>
  <si>
    <t>LT-3 Strategy A</t>
  </si>
  <si>
    <t>LT-3 Strategy B</t>
  </si>
  <si>
    <t>LT-3 Strategy C</t>
  </si>
  <si>
    <t>Air cooled chiller</t>
  </si>
  <si>
    <t>Water cooled chiller (centrifugal)</t>
  </si>
  <si>
    <t>//</t>
  </si>
  <si>
    <t>Direct AC COP</t>
  </si>
  <si>
    <t>Direct AC cooling capacity</t>
  </si>
  <si>
    <t>chiller COP</t>
  </si>
  <si>
    <t>chiller cooling capacity</t>
  </si>
  <si>
    <t>Direct AC EEBC</t>
  </si>
  <si>
    <t>chiller EEBC</t>
  </si>
  <si>
    <t>HVAC systems</t>
  </si>
  <si>
    <r>
      <rPr>
        <b/>
        <sz val="10"/>
        <rFont val="Calibri"/>
        <family val="2"/>
      </rPr>
      <t>→</t>
    </r>
    <r>
      <rPr>
        <b/>
        <sz val="10"/>
        <rFont val="Arial"/>
        <family val="2"/>
      </rPr>
      <t xml:space="preserve"> </t>
    </r>
    <r>
      <rPr>
        <b/>
        <u/>
        <sz val="10"/>
        <rFont val="Arial"/>
        <family val="2"/>
      </rPr>
      <t>Demand control ventilation</t>
    </r>
    <r>
      <rPr>
        <b/>
        <sz val="10"/>
        <rFont val="Arial"/>
        <family val="2"/>
      </rPr>
      <t>:</t>
    </r>
  </si>
  <si>
    <t>Office</t>
  </si>
  <si>
    <t>Hotel</t>
  </si>
  <si>
    <t>School</t>
  </si>
  <si>
    <t>Residential</t>
  </si>
  <si>
    <t>Separate spaces</t>
  </si>
  <si>
    <t>Space type</t>
  </si>
  <si>
    <t>Requirements</t>
  </si>
  <si>
    <t>Recommendations</t>
  </si>
  <si>
    <t>Careful</t>
  </si>
  <si>
    <t>Symbols used in the tool:</t>
  </si>
  <si>
    <r>
      <t>Maximum LPD (W/m</t>
    </r>
    <r>
      <rPr>
        <vertAlign val="superscript"/>
        <sz val="10"/>
        <color rgb="FFFFFFFF"/>
        <rFont val="Arial"/>
        <family val="2"/>
      </rPr>
      <t>2</t>
    </r>
    <r>
      <rPr>
        <sz val="10"/>
        <color rgb="FFFFFFFF"/>
        <rFont val="Arial"/>
        <family val="2"/>
      </rPr>
      <t>)</t>
    </r>
  </si>
  <si>
    <t>Hospital</t>
  </si>
  <si>
    <t>Retail</t>
  </si>
  <si>
    <t>• Specifying high efficiency lighting fixtures (fluorescent T5, LED...) and ballasts</t>
  </si>
  <si>
    <t>• Design the lighting so as to have the proper illuminance levels</t>
  </si>
  <si>
    <t>• Select interior walls and ceilings with high reflective qualities</t>
  </si>
  <si>
    <t>• Use reflector lamps or build reflectors into luminaires</t>
  </si>
  <si>
    <t>LOTUS will consider as energy efficient appliances, all the appliances that are certified (or can demonstrate equivalent performance) under the following labels:</t>
  </si>
  <si>
    <t xml:space="preserve">• Other labels may be accepted under VGBC approval. </t>
  </si>
  <si>
    <t>Plug load controls installed should be automatic control devices that function either on:</t>
  </si>
  <si>
    <t>• or, a signal from another control or alarm system that indicates the area is unoccupied</t>
  </si>
  <si>
    <t>• an occupant sensor that shall turn receptacles off within 30 minutes of all occupants leaving a space;</t>
  </si>
  <si>
    <t>Pourcentage of appliances installed with an energy efficiency label (%)</t>
  </si>
  <si>
    <t>Project Space type</t>
  </si>
  <si>
    <t>Type 1</t>
  </si>
  <si>
    <t>Type 2</t>
  </si>
  <si>
    <t>Type 3</t>
  </si>
  <si>
    <r>
      <t>Gross Lighted Floor Area of the space type (m</t>
    </r>
    <r>
      <rPr>
        <vertAlign val="superscript"/>
        <sz val="10"/>
        <color theme="0"/>
        <rFont val="Arial"/>
        <family val="2"/>
      </rPr>
      <t>2</t>
    </r>
    <r>
      <rPr>
        <sz val="10"/>
        <color theme="0"/>
        <rFont val="Arial"/>
        <family val="2"/>
      </rPr>
      <t>)</t>
    </r>
  </si>
  <si>
    <t>Type 4</t>
  </si>
  <si>
    <r>
      <t>Lighting Power Density of the project space (W/m</t>
    </r>
    <r>
      <rPr>
        <vertAlign val="superscript"/>
        <sz val="11"/>
        <color theme="0"/>
        <rFont val="Arial"/>
        <family val="2"/>
      </rPr>
      <t>2</t>
    </r>
    <r>
      <rPr>
        <sz val="11"/>
        <color theme="0"/>
        <rFont val="Arial"/>
        <family val="2"/>
      </rPr>
      <t>)</t>
    </r>
  </si>
  <si>
    <t>Lighting Power Density reduction (%)</t>
  </si>
  <si>
    <t xml:space="preserve">Task lights provide local lighting of a specific area by bringing the light source closer to the task. </t>
  </si>
  <si>
    <t xml:space="preserve">For every desk or workstation, supplementary task lighting luminaires should be provided.
The task lighting luminaires should allow the occupant some degree of control, both of light output (switching or dimming) and position. </t>
  </si>
  <si>
    <t>Total number of workstations</t>
  </si>
  <si>
    <t>Number of task lighting luminaires</t>
  </si>
  <si>
    <t>Compliant task lighting?</t>
  </si>
  <si>
    <t xml:space="preserve">
Average Refrigerant Atmospheric Impact of all the air-conditioning systems installed in the building is below 11</t>
  </si>
  <si>
    <t>To reduce the refrigerant atmospheric impact of air-conditioning, commercial refrigeration and heat pump systems, 2 of the following strategies must be implemented:</t>
  </si>
  <si>
    <t>Air-conditioning System</t>
  </si>
  <si>
    <t>DX used</t>
  </si>
  <si>
    <t>This option is only applicable for projects which installed commercial refrigeration systems. Commercial refrigeration equipment includes the following:</t>
  </si>
  <si>
    <t>• If the project includes some commercial refrigeration systems, the project shall meet the requirements of at least one strategy of the Option C to be eligible for points under option B.</t>
  </si>
  <si>
    <t>• Only HVAC systems installed by the project and serving the project space can be considered in this strategy.</t>
  </si>
  <si>
    <r>
      <t xml:space="preserve">• </t>
    </r>
    <r>
      <rPr>
        <b/>
        <sz val="10"/>
        <rFont val="Arial"/>
        <family val="2"/>
      </rPr>
      <t>No centralized direct expansion systems is used</t>
    </r>
    <r>
      <rPr>
        <sz val="10"/>
        <rFont val="Arial"/>
        <family val="2"/>
      </rPr>
      <t xml:space="preserve">. Such systems are discouraged as they have higher refrigerant charge and higher leakage rate. </t>
    </r>
  </si>
  <si>
    <r>
      <t xml:space="preserve">• </t>
    </r>
    <r>
      <rPr>
        <b/>
        <sz val="10"/>
        <rFont val="Arial"/>
        <family val="2"/>
      </rPr>
      <t>All the refrigerants have a GWP</t>
    </r>
    <r>
      <rPr>
        <b/>
        <vertAlign val="subscript"/>
        <sz val="10"/>
        <rFont val="Arial"/>
        <family val="2"/>
      </rPr>
      <t>100</t>
    </r>
    <r>
      <rPr>
        <b/>
        <sz val="10"/>
        <rFont val="Arial"/>
        <family val="2"/>
      </rPr>
      <t xml:space="preserve"> below 2000 and an ODP ≤ 0.02</t>
    </r>
    <r>
      <rPr>
        <sz val="10"/>
        <rFont val="Arial"/>
        <family val="2"/>
      </rPr>
      <t>. Refrigerants like the R404A, still commonly used but with a high GWP</t>
    </r>
    <r>
      <rPr>
        <vertAlign val="subscript"/>
        <sz val="10"/>
        <rFont val="Arial"/>
        <family val="2"/>
      </rPr>
      <t>100</t>
    </r>
    <r>
      <rPr>
        <sz val="10"/>
        <rFont val="Arial"/>
        <family val="2"/>
      </rPr>
      <t xml:space="preserve"> (3943 under IPCC fifth assessment) should be discouraged as many alternatives from other HFCs (such as R134a, R407A...) to HFOs exist.</t>
    </r>
  </si>
  <si>
    <r>
      <t>•</t>
    </r>
    <r>
      <rPr>
        <b/>
        <sz val="10"/>
        <rFont val="Arial"/>
        <family val="2"/>
      </rPr>
      <t xml:space="preserve"> 50% (by mass) of the total refrigerant charge of commercial refrigeration equipment are natural refrigerants or HFOs.</t>
    </r>
    <r>
      <rPr>
        <sz val="10"/>
        <rFont val="Arial"/>
        <family val="2"/>
      </rPr>
      <t xml:space="preserve"> 
Natural refrigerants should be used in as many systems as possible; they have extremely low GWP</t>
    </r>
    <r>
      <rPr>
        <vertAlign val="subscript"/>
        <sz val="10"/>
        <rFont val="Arial"/>
        <family val="2"/>
      </rPr>
      <t>100</t>
    </r>
    <r>
      <rPr>
        <sz val="10"/>
        <rFont val="Arial"/>
        <family val="2"/>
      </rPr>
      <t xml:space="preserve"> values and can be used efficiently for heat pumps (with CO2) and for commercial refrigeration in configurations such as cascade or indirect systems (with CO2, propane, etc.).</t>
    </r>
  </si>
  <si>
    <r>
      <t xml:space="preserve">• </t>
    </r>
    <r>
      <rPr>
        <b/>
        <sz val="10"/>
        <rFont val="Arial"/>
        <family val="2"/>
      </rPr>
      <t>An indirect (secondary) commercial refrigeration system is installed</t>
    </r>
    <r>
      <rPr>
        <sz val="10"/>
        <rFont val="Arial"/>
        <family val="2"/>
      </rPr>
      <t xml:space="preserve">. Indirect (also called secondary loop) systems are systems that use a chiller to cool a secondary fluid that is then circulated throughout the building to the cases and coolers. With a much lower refrigerant charge, these systems are effective to limit the warming impact of commercial refrigeration. </t>
    </r>
  </si>
  <si>
    <t>E-2 Strategy B</t>
  </si>
  <si>
    <t xml:space="preserve">• Tender stage electrical drawings showing the location of all sensors and controls </t>
  </si>
  <si>
    <t xml:space="preserve">• Tender stage specifications of the lighting control system indicating the sensors and controls to be installed </t>
  </si>
  <si>
    <t>• Tender stage interior lighting drawings</t>
  </si>
  <si>
    <t>• Tender stage specification extracts -OR- manufacturer’s published data for all lamps and ballasts used in the interior of the building</t>
  </si>
  <si>
    <t>• Manufacturer’s published data of all lamps and ballasts used in the interior of the building</t>
  </si>
  <si>
    <t>• Evidence showing that the aforementioned appliances were installed such as photographs, invoices, etc.</t>
  </si>
  <si>
    <t>• Evidence that the strategies to reduce the waste generation were followed such as photographs, drawings, receipts, etc.</t>
  </si>
  <si>
    <t>• Tender stage specification extracts indicating the VOC limits for each product -OR- Manufacturer’s published data on any proposed low VOC products with an indication that the product adheres to a recognised international standard for VOC content</t>
  </si>
  <si>
    <t>• Evidence that dust, dirt and mould have been removed from all accessible supply air ductwork prior to occupancy such as cleaning contract, photographs, etc.</t>
  </si>
  <si>
    <t>• Tender stage plans and elevations outlining net occupied areas, compliant areas and indicating all glazing and its size</t>
  </si>
  <si>
    <t>• Plans indicating location of collective transport information</t>
  </si>
  <si>
    <t>• Plans or maps indicating location of public transport stops within a 500 m or a 700 m walking distance of the site</t>
  </si>
  <si>
    <t>• Documentation indicating the number of public transport routes by which the stops are serviced</t>
  </si>
  <si>
    <t>• As-built plans indicating location of public transport information</t>
  </si>
  <si>
    <t>• Photographs showing that the information is displayed</t>
  </si>
  <si>
    <t>• Photographs showing the facilities and amenities</t>
  </si>
  <si>
    <t>• Tender stage specifications of the lighting control system indicating the installation of a master main switch or a scheduling control</t>
  </si>
  <si>
    <t>Light output control?</t>
  </si>
  <si>
    <t>Select and install energy efficient equipment and appliances in the interior project space.</t>
  </si>
  <si>
    <t>• Tender stage electrical drawings showing the location of all the plug points</t>
  </si>
  <si>
    <t>• Tender stage specifications extracts indicating the installation of plug load controls</t>
  </si>
  <si>
    <t>• Manufacturer's data of the plug load controls</t>
  </si>
  <si>
    <t>• Tender stage specifications extracts indicating the selection of energy efficient appliances</t>
  </si>
  <si>
    <t>Reply to the questions below:</t>
  </si>
  <si>
    <t>Complete the information below:</t>
  </si>
  <si>
    <t>A drinking water filtration system including filters such as sediment filters, reverse-osmosis filters and activated carbon filters is advised.</t>
  </si>
  <si>
    <t>• Tender stage specifications extracts indicating the installation of a drinking water filtration system</t>
  </si>
  <si>
    <t xml:space="preserve">• Product technical data showing the types of filters contained in the water filtration system </t>
  </si>
  <si>
    <t>Reply to all the questions below:</t>
  </si>
  <si>
    <r>
      <t>• At least, permanent CO</t>
    </r>
    <r>
      <rPr>
        <vertAlign val="subscript"/>
        <sz val="10"/>
        <rFont val="Arial"/>
        <family val="2"/>
      </rPr>
      <t>2</t>
    </r>
    <r>
      <rPr>
        <sz val="10"/>
        <rFont val="Arial"/>
        <family val="2"/>
      </rPr>
      <t xml:space="preserve"> sensors should be installed in all the high density occupied areas (areas with at least 1 person for 3 m</t>
    </r>
    <r>
      <rPr>
        <vertAlign val="superscript"/>
        <sz val="10"/>
        <rFont val="Arial"/>
        <family val="2"/>
      </rPr>
      <t>2</t>
    </r>
    <r>
      <rPr>
        <sz val="10"/>
        <rFont val="Arial"/>
        <family val="2"/>
      </rPr>
      <t>)</t>
    </r>
  </si>
  <si>
    <r>
      <t>• One of the two following CO</t>
    </r>
    <r>
      <rPr>
        <vertAlign val="subscript"/>
        <sz val="10"/>
        <rFont val="Arial"/>
        <family val="2"/>
      </rPr>
      <t>2</t>
    </r>
    <r>
      <rPr>
        <sz val="10"/>
        <rFont val="Arial"/>
        <family val="2"/>
      </rPr>
      <t xml:space="preserve"> monitoring techniques should be applied:</t>
    </r>
  </si>
  <si>
    <t xml:space="preserve">• To meet LOTUS requirements on flush-out, comply with one of the two following options: </t>
  </si>
  <si>
    <t>- Post-construction, Pre-occupancy flush-out</t>
  </si>
  <si>
    <t>- Post-construction, Pre-occupancy/Post-occupancy flush-out</t>
  </si>
  <si>
    <t>The TAC value is calculated as the minimum fresh air supply rate (cf credit H-1) during a period of 14 days.</t>
  </si>
  <si>
    <t xml:space="preserve"> Complete the information below on the flush-out procedure:</t>
  </si>
  <si>
    <r>
      <t>Area (m</t>
    </r>
    <r>
      <rPr>
        <vertAlign val="superscript"/>
        <sz val="10"/>
        <color indexed="9"/>
        <rFont val="Arial"/>
        <family val="2"/>
      </rPr>
      <t>2</t>
    </r>
    <r>
      <rPr>
        <sz val="10"/>
        <color indexed="9"/>
        <rFont val="Arial"/>
        <family val="2"/>
      </rPr>
      <t>)</t>
    </r>
  </si>
  <si>
    <t>When monitoring large open spaces with largely uniform concentration levels, it is also acceptable to mount sensors in return air ducts.</t>
  </si>
  <si>
    <r>
      <t>• For both techniques, CO</t>
    </r>
    <r>
      <rPr>
        <vertAlign val="subscript"/>
        <sz val="10"/>
        <rFont val="Arial"/>
        <family val="2"/>
      </rPr>
      <t>2</t>
    </r>
    <r>
      <rPr>
        <sz val="10"/>
        <rFont val="Arial"/>
        <family val="2"/>
      </rPr>
      <t xml:space="preserve"> sensors should be installed in a sufficient number and located between 1 and 2 meters above the finished floor (breathing zone). </t>
    </r>
  </si>
  <si>
    <t xml:space="preserve">Number of occupants </t>
  </si>
  <si>
    <t>Provide access to at least 3 facilities/amenities for the project occupants</t>
  </si>
  <si>
    <t>Provide access to facilities and amenities for the project occupants.</t>
  </si>
  <si>
    <t>Option B: Green lease</t>
  </si>
  <si>
    <t>Name of the base building</t>
  </si>
  <si>
    <t>Calculations are based on the cost of furniture products.</t>
  </si>
  <si>
    <t>• Copy of the LOTUS AP certificate</t>
  </si>
  <si>
    <t>An Operation &amp; Maintenance Manual should be produced.</t>
  </si>
  <si>
    <r>
      <rPr>
        <b/>
        <sz val="10"/>
        <rFont val="Arial"/>
        <family val="2"/>
      </rPr>
      <t>Strategy B: Green Training for occupants</t>
    </r>
    <r>
      <rPr>
        <sz val="10"/>
        <rFont val="Arial"/>
        <family val="2"/>
      </rPr>
      <t xml:space="preserve">
Develop a training program for occupants on the topic of sustainability</t>
    </r>
  </si>
  <si>
    <r>
      <rPr>
        <b/>
        <sz val="10"/>
        <rFont val="Arial"/>
        <family val="2"/>
      </rPr>
      <t>Strategy A: User guide</t>
    </r>
    <r>
      <rPr>
        <sz val="10"/>
        <rFont val="Arial"/>
        <family val="2"/>
      </rPr>
      <t xml:space="preserve">
Produce a User guide for occupants</t>
    </r>
  </si>
  <si>
    <t>Strategy A: User guide</t>
  </si>
  <si>
    <t xml:space="preserve">Strategy C: Green Awareness </t>
  </si>
  <si>
    <t>Strategy B: Green Training for occupants</t>
  </si>
  <si>
    <t>• No refrigerants are used,</t>
  </si>
  <si>
    <t>To meet the requirements of Option A, no CFC refrigerant or refrigerants with an ODP higher or equal to 0.05 should be installed in the project space and one of the following must be met:</t>
  </si>
  <si>
    <t xml:space="preserve">• All systems using refrigerants have less than 250 grams of refrigerant </t>
  </si>
  <si>
    <t>If yes:</t>
  </si>
  <si>
    <t xml:space="preserve">Use variable speed controls on all the air-conditioning systems to ensure better part-load systems efficiency.  </t>
  </si>
  <si>
    <t>Clean each area of the project space with environmentally friendly products.</t>
  </si>
  <si>
    <t>Perceived Air quality</t>
  </si>
  <si>
    <t>Air freshness</t>
  </si>
  <si>
    <t>Occupied spaces should have an average daylight factor between 1.5% and 3.5%</t>
  </si>
  <si>
    <t>• Light shelves (horizontal surfaces that reflect daylight deep into a building)</t>
  </si>
  <si>
    <t>Complete the table below with information on all the occupied rooms of the project space</t>
  </si>
  <si>
    <t>Complete the table below with information on all the interior plants incorporated in the project space:</t>
  </si>
  <si>
    <t>Complete the table below with information on the base building:</t>
  </si>
  <si>
    <t>Is the base building compliant with the following requirements?</t>
  </si>
  <si>
    <t>Please Precise:</t>
  </si>
  <si>
    <t>• Evidence showing that the base building complies with the requirements such as plans, photographs, letter of confirmation, etc.</t>
  </si>
  <si>
    <t>All composite wood products compliant?</t>
  </si>
  <si>
    <t>Formaldehyde content of the product</t>
  </si>
  <si>
    <t>Composite wood products include plywood and all types of fibreboards: particle board, medium-density fibreboard (MDF) and hardboard.</t>
  </si>
  <si>
    <t xml:space="preserve">Type of composite wood </t>
  </si>
  <si>
    <t>Complete the table below with information on all the composite wood products used on the project:</t>
  </si>
  <si>
    <t>Adhesive used for assembly</t>
  </si>
  <si>
    <r>
      <t>Total floor area of the occupied spaces (m</t>
    </r>
    <r>
      <rPr>
        <vertAlign val="superscript"/>
        <sz val="10"/>
        <color theme="0"/>
        <rFont val="Arial"/>
        <family val="2"/>
      </rPr>
      <t>2</t>
    </r>
    <r>
      <rPr>
        <sz val="10"/>
        <color theme="0"/>
        <rFont val="Arial"/>
        <family val="2"/>
      </rPr>
      <t>)</t>
    </r>
  </si>
  <si>
    <r>
      <t>When occupancy is desired prior completion of the TAC, it is allowed for a space to be occupied after half of the TAC have been supplied to the space. Then, the space shall have a minimum fresh air supply rate of 1.5 L/s per m</t>
    </r>
    <r>
      <rPr>
        <vertAlign val="superscript"/>
        <sz val="10"/>
        <rFont val="Arial"/>
        <family val="2"/>
      </rPr>
      <t>2</t>
    </r>
    <r>
      <rPr>
        <sz val="10"/>
        <rFont val="Arial"/>
        <family val="2"/>
      </rPr>
      <t xml:space="preserve"> or the minimum design rate calculated in the H-1 credit, whichever is greater. These conditions shall be maintained until the TAC required have been supplied to the space. The flush-out shall be continuous.</t>
    </r>
  </si>
  <si>
    <t>TAC supplied to the occupied spaces before occupancy</t>
  </si>
  <si>
    <t>For option Pre-occupancy/Post-occupancy flush-out only:</t>
  </si>
  <si>
    <t>Post-occupancy fresh air supply rate (L/s)</t>
  </si>
  <si>
    <t>• Flush-out report including a description of the flush-out procedure implemented and a logbook with date, outdoor delivery rates, flushing duration, internal temperature, humidity;</t>
  </si>
  <si>
    <t>• Evidence that the flush-out was implemented such as photographs, etc.</t>
  </si>
  <si>
    <t>Pre-occupancy fresh air supply rate (L/s)</t>
  </si>
  <si>
    <t>Maximum flushrate [Lpf]</t>
  </si>
  <si>
    <r>
      <rPr>
        <sz val="12"/>
        <color indexed="9"/>
        <rFont val="Arial"/>
        <family val="2"/>
      </rPr>
      <t xml:space="preserve">Shower heads
</t>
    </r>
    <r>
      <rPr>
        <sz val="10"/>
        <color indexed="9"/>
        <rFont val="Arial"/>
        <family val="2"/>
      </rPr>
      <t>Fixture Name</t>
    </r>
  </si>
  <si>
    <t>Single Flush</t>
  </si>
  <si>
    <t>cef</t>
  </si>
  <si>
    <t xml:space="preserve">% Pre = percentage of pre-consumer recycled content by weight of the product </t>
  </si>
  <si>
    <t>% Post = percentage of post-consumer recycled content by weight of the product</t>
  </si>
  <si>
    <t>Cost of sustainable furniture products (VND)</t>
  </si>
  <si>
    <t>Total cost of furniture products (VND)</t>
  </si>
  <si>
    <t>Sustainable cost (VND)</t>
  </si>
  <si>
    <t>Select and install sustainable materials in the project</t>
  </si>
  <si>
    <t>Select and install sustainable furniture products in the project</t>
  </si>
  <si>
    <t>Calculations are based on the cost of materials.</t>
  </si>
  <si>
    <t>Reused materials</t>
  </si>
  <si>
    <t>Cost of sustainable materials (VND)</t>
  </si>
  <si>
    <t>Total cost of materials (VND)</t>
  </si>
  <si>
    <t>Percentage of sustainable materials [%]</t>
  </si>
  <si>
    <t>% of rapidly renewable materials (by mass)</t>
  </si>
  <si>
    <t>Sustainable features of the material</t>
  </si>
  <si>
    <r>
      <t>• ODP is often used in conjunction with GWP</t>
    </r>
    <r>
      <rPr>
        <vertAlign val="subscript"/>
        <sz val="10"/>
        <rFont val="Arial"/>
        <family val="2"/>
      </rPr>
      <t>100</t>
    </r>
    <r>
      <rPr>
        <sz val="10"/>
        <rFont val="Arial"/>
        <family val="2"/>
      </rPr>
      <t xml:space="preserve"> as a measure of how environmentally detrimental a refrigerant can be.</t>
    </r>
  </si>
  <si>
    <t xml:space="preserve">• Manufacturer’s published data indicating the proposed types of systems with the type and volume of refrigerants used </t>
  </si>
  <si>
    <t xml:space="preserve">• Tender stage specification extracts -OR- manufacturer´s published data indicating the proposed types of systems with the type and volume of refrigerants used </t>
  </si>
  <si>
    <t>• Tender mechanical drawings of the HVAC/R systems showing location and type of all the systems using refrigerants</t>
  </si>
  <si>
    <t>• Tender mechanical drawings of the HVAC systems showing location and type of all the systems using refrigerants</t>
  </si>
  <si>
    <r>
      <t xml:space="preserve"> Complete the table below with information on all the occupied rooms and the CO</t>
    </r>
    <r>
      <rPr>
        <i/>
        <vertAlign val="subscript"/>
        <sz val="10"/>
        <rFont val="Arial"/>
        <family val="2"/>
      </rPr>
      <t>2</t>
    </r>
    <r>
      <rPr>
        <i/>
        <sz val="10"/>
        <rFont val="Arial"/>
        <family val="2"/>
      </rPr>
      <t xml:space="preserve"> monitoring systems installed:</t>
    </r>
  </si>
  <si>
    <t xml:space="preserve"> Complete the tables below with information on all the air-conditioning and commercial refrigeration systems installed:</t>
  </si>
  <si>
    <t>Complete the table below with information on all the appliances and equipment installed in the project and considered under this credit.</t>
  </si>
  <si>
    <t>Complete the information below on the plug points and plug load controls installed in the project.</t>
  </si>
  <si>
    <t xml:space="preserve">• a scheduled basis using a time-of-day operated control device that turns receptacles off at specific programmed times </t>
  </si>
  <si>
    <t>Only interior paints and coatings installed by the project are considered in this credit.</t>
  </si>
  <si>
    <t>Complete the table below with information on all the interior adhesives and sealants installed by the project:</t>
  </si>
  <si>
    <t>Complete the table below with information on all the interior paints and coatings installed by the project:</t>
  </si>
  <si>
    <t>However, when finishing products are used on these types of flooring systems, the finishing products have to be low VOC products.</t>
  </si>
  <si>
    <t>Also, adhesives used to fabricate composite wood assemblies shall not contain any added urea-formaldehyde.</t>
  </si>
  <si>
    <r>
      <rPr>
        <i/>
        <sz val="10"/>
        <color rgb="FF943634"/>
        <rFont val="Arial"/>
        <family val="2"/>
      </rPr>
      <t>Table H.1</t>
    </r>
    <r>
      <rPr>
        <i/>
        <sz val="10"/>
        <rFont val="Arial"/>
        <family val="2"/>
      </rPr>
      <t xml:space="preserve">: Equivalence between plant unit number and width of the pot </t>
    </r>
  </si>
  <si>
    <t>Complete the table below with information on all the cleaning products to be used in the project space:</t>
  </si>
  <si>
    <t xml:space="preserve">Environmentally friendly cleaning product?  </t>
  </si>
  <si>
    <t>Cleaning product name</t>
  </si>
  <si>
    <t>The fixed term period of the lease is at least 6 years</t>
  </si>
  <si>
    <t>Reply to the question below on the lease with the base building:</t>
  </si>
  <si>
    <t>LT-2 Option B</t>
  </si>
  <si>
    <t>LT-2 Option A</t>
  </si>
  <si>
    <t xml:space="preserve">A green lease is signed with the landlord </t>
  </si>
  <si>
    <t>Compliant Green lease?</t>
  </si>
  <si>
    <t>Compliant long-term lease?</t>
  </si>
  <si>
    <t>• If located in the project space, tender floor plans showing the provided facilities and amenities
If located in the base building, evidence showing that the facilities and amenities will be accessible to all the occupants of the project space such as lease agreement, letter of conformation from the owner of the base building, etc.</t>
  </si>
  <si>
    <t xml:space="preserve">Develop an educational program for occupants on the topic of sustainability. </t>
  </si>
  <si>
    <t>• Energy efficiency features</t>
  </si>
  <si>
    <t xml:space="preserve">• Water-saving features </t>
  </si>
  <si>
    <t>• Correct operation of HVAC and lighting systems</t>
  </si>
  <si>
    <t>• Access, security and safety systems</t>
  </si>
  <si>
    <t>• Evacuation/disaster response plan</t>
  </si>
  <si>
    <t>• Methods for reporting problems</t>
  </si>
  <si>
    <t>• Information on parking, public transportation, car sharing schemes, etc.</t>
  </si>
  <si>
    <t>• Waste recycling procedures</t>
  </si>
  <si>
    <t>Qualified and independent Cx agent?</t>
  </si>
  <si>
    <t>Compliant site safety and welfare?</t>
  </si>
  <si>
    <t>VLT</t>
  </si>
  <si>
    <t>Provide direct line of sight to the outdoor environment to the occupied areas.</t>
  </si>
  <si>
    <t>• Elevations and plans marking all operable wall and roof openings with their size</t>
  </si>
  <si>
    <t>• As-built schematic mechanical drawings showing fresh air supply rates</t>
  </si>
  <si>
    <t>• Evidence of the HVAC equipment installed, such as photographs, invoices, receipts, commissioning report, etc.</t>
  </si>
  <si>
    <t>Acknowledgments</t>
  </si>
  <si>
    <t>General</t>
  </si>
  <si>
    <t>In researching and developing the LOTUS Certification system, the Vietnam Green Building Council (VGBC) conducted a survey of all the world’s significant green building rating systems. Several became focal points from which the VGBC has taken inspiration to design LOTUS. These are Australia’s Green Star, the USA’s LEED and Malaysia’s GBI rating systems and to a lesser extent, Britain’s BREEAM, Hong Kong’s BEAM Plus, Indonesia’s Greenship and Singapore’s Green Mark systems.</t>
  </si>
  <si>
    <t>The VGBC is indebted to the Green Building Council Australia (GBCA) for its assistance, and also thank the US Green Building Council and the World Green Building Council and its Asia Pacific Network.</t>
  </si>
  <si>
    <t xml:space="preserve">The VGBC would like to thank all the members of the technical advisory group for their continued help and support. Their dedication to a sustainable, climate change adapted built environment for Vietnam is essential to the accomplishment of the VGBC’s goals and objectives. </t>
  </si>
  <si>
    <t xml:space="preserve">The VGBC would also like to thank all staff and volunteers who have contributed to the development of LOTUS. In performing their unsung work, they have laid the groundwork for a fundamental shift toward sustainability in Vietnam’s built environment. </t>
  </si>
  <si>
    <t>VGBC is grateful to the Global Cities Institute of the Royal Melbourne Institute of Technology (RMIT), which provided major funding at its inception.</t>
  </si>
  <si>
    <t>Authors and contributors</t>
  </si>
  <si>
    <t xml:space="preserve">Lead Authors </t>
  </si>
  <si>
    <t xml:space="preserve">Contributors </t>
  </si>
  <si>
    <t>We extend our thanks to all the authors and contributors who participated in the development of the other LOTUS Rating Systems.</t>
  </si>
  <si>
    <t>VGBC Members</t>
  </si>
  <si>
    <t>Regular Members</t>
  </si>
  <si>
    <t>B+H Architects Vietnam</t>
  </si>
  <si>
    <t>Bry-Air Malaysia</t>
  </si>
  <si>
    <t>CBRE Vietnam</t>
  </si>
  <si>
    <t>Dragon Capital</t>
  </si>
  <si>
    <t>Lap Nguyen Corporation</t>
  </si>
  <si>
    <t>Quoc Viet Technology JSC</t>
  </si>
  <si>
    <t xml:space="preserve">Supporting Authors </t>
  </si>
  <si>
    <t xml:space="preserve">Xavier Leulliette </t>
  </si>
  <si>
    <t>Glossary</t>
  </si>
  <si>
    <t>User Tool</t>
  </si>
  <si>
    <t xml:space="preserve">The User Tool has been developed in such a way that the users only need to fill in some relevant information about the project and all the results are displayed automatically. </t>
  </si>
  <si>
    <t>At Certification stage, for each credit pursued, supporting evidence for the credit should be submitted. The list of documents to provide is given in the Submissions section of credits.</t>
  </si>
  <si>
    <t>This folder contains a few documents that are provided to the Applicant Representative:</t>
  </si>
  <si>
    <r>
      <t xml:space="preserve">• </t>
    </r>
    <r>
      <rPr>
        <b/>
        <u/>
        <sz val="10"/>
        <rFont val="Arial"/>
        <family val="2"/>
      </rPr>
      <t>Task lighting</t>
    </r>
  </si>
  <si>
    <t>Low-VOC Emissions</t>
  </si>
  <si>
    <t>• Is the project space served by supply air ductwork?</t>
  </si>
  <si>
    <t>Handling Procedure and other details</t>
  </si>
  <si>
    <t>Complete the table below with information on all the occupied rooms of the project space:</t>
  </si>
  <si>
    <t>E-1 Strategy C</t>
  </si>
  <si>
    <t>Effective cross ventilation?</t>
  </si>
  <si>
    <t>Compliant zoning?</t>
  </si>
  <si>
    <t xml:space="preserve">• Has separate control zones been provided for each solar exposure? </t>
  </si>
  <si>
    <t>Rooms included in the control zone</t>
  </si>
  <si>
    <t>Complete the Table below with information on all the different HVAC control zones:</t>
  </si>
  <si>
    <t>HVAC control zone</t>
  </si>
  <si>
    <t xml:space="preserve">• Has separate control zones been provided for areas with different occupancy needs? </t>
  </si>
  <si>
    <t xml:space="preserve">• Has separate control zones been provided for areas with different usage? </t>
  </si>
  <si>
    <t>Air-cooled air-conditioner</t>
  </si>
  <si>
    <t>E-1 Strategy E</t>
  </si>
  <si>
    <t>The User should remember that there is a wide range of credits to choose from, except for projects aiming for Gold and Platinum which must achieve most of the available credits.</t>
  </si>
  <si>
    <t>Reply to the questions below on the drinking water filtration system:</t>
  </si>
  <si>
    <t>Install a proper drinking water filtration system to get clean drinking water.</t>
  </si>
  <si>
    <t>As a minimum the filtration system should contain filters that can remove:</t>
  </si>
  <si>
    <t>Calculation is based on the volume or the weight of demolition and construction waste.</t>
  </si>
  <si>
    <t>Calculation</t>
  </si>
  <si>
    <t>Complete the information below to describe the actions and management practices implemented by the project:</t>
  </si>
  <si>
    <t>Aim</t>
  </si>
  <si>
    <t xml:space="preserve">• Reduce incoming waste streams </t>
  </si>
  <si>
    <t>• Educate building users to adopt environmentally friendly waste management practices</t>
  </si>
  <si>
    <t>• Increase reuse/recycling of waste and reduce the disposal of waste in landfills or incineration facilities</t>
  </si>
  <si>
    <t>Calculations should consider all the occupied rooms in the interior project space.</t>
  </si>
  <si>
    <t>3 types of ventilation are considered to provide fresh air to the occupied spaces:</t>
  </si>
  <si>
    <t>Provide sufficient fresh air supply to occupied areas.</t>
  </si>
  <si>
    <t>In this case, fresh air supply must meet or surpass the requirements of a recognised standard such as: TCVN 5687:2010, CIBSE, ASHRAE Standard 62.1, Australian Standard AS1668.2, etc.</t>
  </si>
  <si>
    <t>• Photographs showing all operable wall and roof openings</t>
  </si>
  <si>
    <t>• Tender stage schematic mechanical drawings showing fresh air supply rates</t>
  </si>
  <si>
    <t>Man-3 Strategy A</t>
  </si>
  <si>
    <t>Man-3 Strategy B</t>
  </si>
  <si>
    <t>Measures to implement</t>
  </si>
  <si>
    <t>Implemented?</t>
  </si>
  <si>
    <t>Details on the implementation of the measures</t>
  </si>
  <si>
    <t>• Avoid noise and vibration transmitted via the building structure (with demotion, drilling, cutting chases, scrabbling, coring, etc.) between 8 a.m. and 6 p.m. (or other hours in accordance with the base building activities)</t>
  </si>
  <si>
    <t>Complete the information below on the construction noise mitigation strategies:</t>
  </si>
  <si>
    <t>• Modify a noisy process or equipment to eliminate or reduce the noise and vibration output (e.g. adding new mufflers, or sound absorbing material).</t>
  </si>
  <si>
    <t>• Regularly maintain machinery and equipment so equipment in disrepair is not contributing to total noise (simple maintenance can reduce noise level by 50%).</t>
  </si>
  <si>
    <t>• Use noise absorption material to reduce reflected noise inside a room or enclosure, and transmitted outside. (e.g. plywood with sound absorbing).</t>
  </si>
  <si>
    <t>• Evidence showing each measure implemented such as photographs, etc.</t>
  </si>
  <si>
    <t>• Evidence showing the involvement of a LOTUS AP until completion of fit-out</t>
  </si>
  <si>
    <t>• Evidence showing the involvement of a LOTUS AP in the design stage</t>
  </si>
  <si>
    <t>Systems and equipment furnished by the base building, but modified or relocated as part of tenant fit-out, should be included in the scope of commissioning.</t>
  </si>
  <si>
    <t>• Qualifications of the commissioning agent:</t>
  </si>
  <si>
    <t>Job position</t>
  </si>
  <si>
    <t>Experience</t>
  </si>
  <si>
    <t>Educational background</t>
  </si>
  <si>
    <t>Areas of expertise</t>
  </si>
  <si>
    <t>• Copy of the resume of the commissioning agent</t>
  </si>
  <si>
    <t>• Evidence showing the involvement of the commissioning agent such as photographs, contract, etc.</t>
  </si>
  <si>
    <t>• As-built drawings and specifications</t>
  </si>
  <si>
    <t>• Schedule of all equipment</t>
  </si>
  <si>
    <t>• Commissioning and testing results (if any)</t>
  </si>
  <si>
    <t>• Guarantees, warranties and certificates</t>
  </si>
  <si>
    <r>
      <rPr>
        <b/>
        <sz val="10"/>
        <rFont val="Arial"/>
        <family val="2"/>
      </rPr>
      <t>Strategy B: Preventative Maintenance Plan</t>
    </r>
    <r>
      <rPr>
        <sz val="10"/>
        <rFont val="Arial"/>
        <family val="2"/>
      </rPr>
      <t xml:space="preserve">
For 1 point, Produce a preventative maintenance plan</t>
    </r>
  </si>
  <si>
    <r>
      <rPr>
        <b/>
        <sz val="10"/>
        <rFont val="Arial"/>
        <family val="2"/>
      </rPr>
      <t>Strategy A: Operation &amp; Maintenance Manual</t>
    </r>
    <r>
      <rPr>
        <sz val="10"/>
        <rFont val="Arial"/>
        <family val="2"/>
      </rPr>
      <t xml:space="preserve">
For 1 point, Provide an Operation &amp; Maintenance Manual for the interior space</t>
    </r>
  </si>
  <si>
    <t>Strategy A: Operation &amp; Maintenance Manual</t>
  </si>
  <si>
    <t>Strategy B: Preventative Maintenance Plan</t>
  </si>
  <si>
    <t>Produce a preventative maintenance plan</t>
  </si>
  <si>
    <t>Submitted?</t>
  </si>
  <si>
    <t>Name of the document(s)</t>
  </si>
  <si>
    <t>Flush rate
[Lpf]</t>
  </si>
  <si>
    <t xml:space="preserve">Select low-flow water fixtures to reduce domestic water consumption through fixtures. </t>
  </si>
  <si>
    <t xml:space="preserve">• Bill of quantities -OR- estimated costing highlighting all materials </t>
  </si>
  <si>
    <t>• Evidence showing that the materials to be installed are sustainable such as: tender stage specification extracts, manufacturer’s data, signed and stamped letters from the manufacturer, etc</t>
  </si>
  <si>
    <t>• Evidence showing that the furniture products to be installed are sustainable such as: tender stage specification extracts, manufacturer’s data, signed and stamped letters from the manufacturer, etc</t>
  </si>
  <si>
    <r>
      <t>• Only refrigerants that have an ozone depletion potential (ODP) of zero and a global warming potential (GWP</t>
    </r>
    <r>
      <rPr>
        <vertAlign val="subscript"/>
        <sz val="10"/>
        <rFont val="Arial"/>
        <family val="2"/>
      </rPr>
      <t>100</t>
    </r>
    <r>
      <rPr>
        <sz val="10"/>
        <rFont val="Arial"/>
        <family val="2"/>
      </rPr>
      <t>) of less than 50 are used</t>
    </r>
  </si>
  <si>
    <t>• ODPr = Ozone Depletion Potential of Refrigerant (0 to 0.2 kg CFC 11/kg r) coming from the stratospheric ozone protection regulations at 40 CFR Part 82</t>
  </si>
  <si>
    <t xml:space="preserve">• Lr = Refrigerant Leakage Rate (0.5% to 2.0%; default of 2% unless otherwise demonstrated) </t>
  </si>
  <si>
    <t xml:space="preserve">• Mr = End-of-life Refrigerant Loss (2% to 10%; default of 10% unless otherwise demonstrated) </t>
  </si>
  <si>
    <t xml:space="preserve">• Rc = Refrigerant Charge (0.2 to 2.3 kg of refrigerant per kW of rated cooling capacity) </t>
  </si>
  <si>
    <r>
      <t>• GWPr</t>
    </r>
    <r>
      <rPr>
        <vertAlign val="subscript"/>
        <sz val="10"/>
        <rFont val="Arial"/>
        <family val="2"/>
      </rPr>
      <t>100</t>
    </r>
    <r>
      <rPr>
        <sz val="10"/>
        <rFont val="Arial"/>
        <family val="2"/>
      </rPr>
      <t xml:space="preserve"> = Global Warming Potential of Refrigerant (0 to 12,000 kg CO2/kg r) coming from the IPCC Fifth Assessment Report (AR5) in 2013.</t>
    </r>
  </si>
  <si>
    <t>Average Refrigerant Atmospheric Impact of all systems</t>
  </si>
  <si>
    <t xml:space="preserve">• Bill of quantities -OR- estimated costing highlighting all furniture products </t>
  </si>
  <si>
    <t xml:space="preserve">• Tender stage schematics of the communication interface between the software and the meters </t>
  </si>
  <si>
    <t>• Tender stage elevations and plans marking all operable wall and roof openings</t>
  </si>
  <si>
    <t>• Tender stage window schedule indicating the number, location and size of all operable wall and roof openings</t>
  </si>
  <si>
    <t>• Tender schedule of all HVAC equipment indicating COP values - OR - Tender stage specifications of the HVAC equipment indicating minimum specified COP values</t>
  </si>
  <si>
    <t xml:space="preserve">Select an interior space with a good potential for natural ventilation and properly design the space layout. </t>
  </si>
  <si>
    <t>Strategy C: HVAC Zoning</t>
  </si>
  <si>
    <t>Strategy D: HVAC Controls</t>
  </si>
  <si>
    <t xml:space="preserve">• Tender stage schematic drawings of the HVAC system indicating location of thermostats and diffusers </t>
  </si>
  <si>
    <t>Variable controls: Submit all the documentation listed below:</t>
  </si>
  <si>
    <t>Demand control ventilation: Submit all the documentation listed below:</t>
  </si>
  <si>
    <t>E-1 Strategy D variable controls</t>
  </si>
  <si>
    <t>E-1 Strategy D demand control</t>
  </si>
  <si>
    <t>• Tender schedule of all the HVAC equipment installed including equipment ensuring better part-load systems efficiency - OR - Tender stage specifications indicating equipment ensuring better part-load systems efficiency</t>
  </si>
  <si>
    <t xml:space="preserve">• Tender stage schematic drawings of the HVAC system indicating location of all the equipment </t>
  </si>
  <si>
    <t>• Evidence showing that appropriate zoning has been realised such as photographs, commissioning records, etc.</t>
  </si>
  <si>
    <t>• As-installed interior lighting drawings</t>
  </si>
  <si>
    <t>• Document indicating that no system using refrigerants will be installed by the project such as letter from tenant, etc.</t>
  </si>
  <si>
    <t>• Tender stage specification extracts -OR- manufacturer´s published data indicating the proposed types of systems with the type of refrigerants used</t>
  </si>
  <si>
    <t>• Tender stage site plan indicating the location and size of the dedicated recycling storage area and access routes to the recycling storage area(s) for building occupants and recycling contractors</t>
  </si>
  <si>
    <t>• Document indicating that Environmentally friendly products will be used for cleaning</t>
  </si>
  <si>
    <r>
      <t>Area of the space (m</t>
    </r>
    <r>
      <rPr>
        <vertAlign val="superscript"/>
        <sz val="10"/>
        <color theme="0"/>
        <rFont val="Arial"/>
        <family val="2"/>
      </rPr>
      <t>2</t>
    </r>
    <r>
      <rPr>
        <sz val="10"/>
        <color theme="0"/>
        <rFont val="Arial"/>
        <family val="2"/>
      </rPr>
      <t>)</t>
    </r>
  </si>
  <si>
    <r>
      <t>Area with External View (m</t>
    </r>
    <r>
      <rPr>
        <vertAlign val="superscript"/>
        <sz val="10"/>
        <color theme="0"/>
        <rFont val="Arial"/>
        <family val="2"/>
      </rPr>
      <t>2</t>
    </r>
    <r>
      <rPr>
        <sz val="10"/>
        <color theme="0"/>
        <rFont val="Arial"/>
        <family val="2"/>
      </rPr>
      <t>)</t>
    </r>
  </si>
  <si>
    <r>
      <t>Compliant area (m</t>
    </r>
    <r>
      <rPr>
        <vertAlign val="superscript"/>
        <sz val="10"/>
        <color theme="0"/>
        <rFont val="Arial"/>
        <family val="2"/>
      </rPr>
      <t>2</t>
    </r>
    <r>
      <rPr>
        <sz val="10"/>
        <color theme="0"/>
        <rFont val="Arial"/>
        <family val="2"/>
      </rPr>
      <t>)</t>
    </r>
  </si>
  <si>
    <r>
      <t>Total compliant area (m</t>
    </r>
    <r>
      <rPr>
        <vertAlign val="superscript"/>
        <sz val="11"/>
        <color theme="0"/>
        <rFont val="Arial"/>
        <family val="2"/>
      </rPr>
      <t>2</t>
    </r>
    <r>
      <rPr>
        <sz val="11"/>
        <color theme="0"/>
        <rFont val="Arial"/>
        <family val="2"/>
      </rPr>
      <t>)</t>
    </r>
  </si>
  <si>
    <t>To meet LOTUS requirements on interior plants, comply with the 3 following requirements:</t>
  </si>
  <si>
    <t>• No herbicides and pesticides should be applied to the plants.</t>
  </si>
  <si>
    <t>Install a sufficient amount of carefully selected interior plants in the project space</t>
  </si>
  <si>
    <t>Install a sufficient amount of carefully selected interior plants in the project space.</t>
  </si>
  <si>
    <t>• Evidence showing the quantity and species of plants installed such as photographs, receipts, invoices, etc.</t>
  </si>
  <si>
    <t>• Evidence showing that the plants installed are suitable to indoor environments such as letter of confirmation from the plant supplier, published document, etc.</t>
  </si>
  <si>
    <t>• Tender stage layout plans showing the plants to be installed - OR - letter of intent from the Applicant indicating the quantity and species of plants that will be installed</t>
  </si>
  <si>
    <t>• Is the base building LOTUS Certified?</t>
  </si>
  <si>
    <t>• What is the fixed term period of the lease? (in years)</t>
  </si>
  <si>
    <t>• Will the service be regularly maintained?</t>
  </si>
  <si>
    <t>Access provided?</t>
  </si>
  <si>
    <t>Types of facilities and amenities</t>
  </si>
  <si>
    <t>• Community connectivity: 
There are 10 different basic services in 500m walking distance from the building entrance</t>
  </si>
  <si>
    <t xml:space="preserve">• Water recycling/reuse: 
Recycled water, reused water or harvested rainwater contributes to the building’s water consumption </t>
  </si>
  <si>
    <t>• Renewable energy: 
Base building is producing energy from a Renewable energy source</t>
  </si>
  <si>
    <t>• Vegetation: 
10% of the total site area (including roof) is vegetated</t>
  </si>
  <si>
    <t>• Other Green attribute (Subject to VGBC approval)</t>
  </si>
  <si>
    <t>Implement measures to provide safety and welfare for construction workers</t>
  </si>
  <si>
    <t>Complete the information below on the main contractor:</t>
  </si>
  <si>
    <t>Main Contractor Company Name</t>
  </si>
  <si>
    <t>• Copy of the ISO 14001 certificate of the main contractor</t>
  </si>
  <si>
    <t>• heavy metals</t>
  </si>
  <si>
    <t>Select the unit used for calculations and complete the table below:</t>
  </si>
  <si>
    <t>Complete the table below with information on the strategies to reduce waste generation:</t>
  </si>
  <si>
    <t>Details on the strategies implemented</t>
  </si>
  <si>
    <t>Strategy A1: Space Water Use</t>
  </si>
  <si>
    <t>Strategy A2: Upgrade of base building water fixtures</t>
  </si>
  <si>
    <t>Strategy A3: Process Water Use</t>
  </si>
  <si>
    <t>Strategy B2: Upgrade of base building water fixtures</t>
  </si>
  <si>
    <t>Man-4 Strategy A</t>
  </si>
  <si>
    <t>Man-4 Strategy B</t>
  </si>
  <si>
    <t>Option A: Internal Noise Levels</t>
  </si>
  <si>
    <t>Option B: Reverberation Time</t>
  </si>
  <si>
    <t>Calculations of reverberation time are not included in this sheet.</t>
  </si>
  <si>
    <t xml:space="preserve">Also, reverberation time can be calculated theoretically using a modelling software that includes an acoustic component or with a calculator (such as http://www.sengpielaudio.com/calculator-RT60.htm)
</t>
  </si>
  <si>
    <t>Enter the calculated values of reverberation time in the table below:</t>
  </si>
  <si>
    <t>Average reverberation time (T60)</t>
  </si>
  <si>
    <t>Compliant reverberation time?</t>
  </si>
  <si>
    <t>• Results of the calculations of the reverberation time</t>
  </si>
  <si>
    <t>• Evidence showing that the materials used in the calculations were installed such as photographs, invoices, etc.</t>
  </si>
  <si>
    <t>Reply to the questions below on the lease with the base building:</t>
  </si>
  <si>
    <t>Reply to the questions below on the spaces for bicycles:</t>
  </si>
  <si>
    <t>Reply to the questions below on the Operation &amp; Maintenance Manual:</t>
  </si>
  <si>
    <t>• List of all equipment requiring maintenance</t>
  </si>
  <si>
    <t>Compliant Operation &amp; Maintenance Manual?</t>
  </si>
  <si>
    <t xml:space="preserve">• If possible, signed letter from the tenant that a preventative maintenance plan will be produced and followed </t>
  </si>
  <si>
    <t xml:space="preserve">Provide a User guide for occupants. </t>
  </si>
  <si>
    <t>Does the User guide include the following information for users?</t>
  </si>
  <si>
    <t>The User guide should be a non-technical, easy to understand guide with information for users about:</t>
  </si>
  <si>
    <t>• Design specifications of the interior space and how these affect its operation</t>
  </si>
  <si>
    <t xml:space="preserve">• If possible, signed letter from the tenant that a User guide will be provided </t>
  </si>
  <si>
    <t>• If possible, signed letter from the tenant that a operation and maintenance manual will be produced</t>
  </si>
  <si>
    <t>Reply to the questions below on the User guide:</t>
  </si>
  <si>
    <t>The training program should educate the occupants on the interior space and their relationship to the interior space:</t>
  </si>
  <si>
    <t>The program should also educate occupants about the topics of resource conservation, health issues, climate change, etc.</t>
  </si>
  <si>
    <t>• Green features of the interior space</t>
  </si>
  <si>
    <t>green features, sustainability goals, impacts of their behaviour on the performance and ways to improve their behaviour.</t>
  </si>
  <si>
    <t>• Sustainability goals of the interior space</t>
  </si>
  <si>
    <t>• Ways to improve occupant's behaviour</t>
  </si>
  <si>
    <t>Compliant Green Training ?</t>
  </si>
  <si>
    <t>Compliant User Guide ?</t>
  </si>
  <si>
    <t>• Impacts of occupant's behaviour on the performance of the interior space</t>
  </si>
  <si>
    <t>Does the Green Training educate occupants on the following topics?</t>
  </si>
  <si>
    <t>• Resource conservation</t>
  </si>
  <si>
    <t>• Health issues</t>
  </si>
  <si>
    <t>• Climate change</t>
  </si>
  <si>
    <t>• If possible, signed letter from the tenant that a Green Training will be provided to all occupants</t>
  </si>
  <si>
    <t>Compliant green awareness campaign ?</t>
  </si>
  <si>
    <t xml:space="preserve">The green-awareness campaign can be executed by displaying posters or screens in the most frequented areas of the interior space. </t>
  </si>
  <si>
    <t xml:space="preserve">As a minimum, the following information should be shown: impacts of buildings on the environment, one sustainability feature related to Energy Conservation </t>
  </si>
  <si>
    <t>or Energy Efficiency, one sustainability feature related to Water Conservation or Water Efficiency and one sustainability feature related to Health &amp; Comfort.</t>
  </si>
  <si>
    <t>Implement a permanent green-awareness campaign.</t>
  </si>
  <si>
    <r>
      <rPr>
        <b/>
        <sz val="10"/>
        <rFont val="Arial"/>
        <family val="2"/>
      </rPr>
      <t xml:space="preserve">Strategy C: Green Awareness </t>
    </r>
    <r>
      <rPr>
        <sz val="10"/>
        <rFont val="Arial"/>
        <family val="2"/>
      </rPr>
      <t xml:space="preserve">
Implement a permanent green-awareness campaign.</t>
    </r>
  </si>
  <si>
    <t xml:space="preserve">• impacts of buildings on the environment </t>
  </si>
  <si>
    <t xml:space="preserve">• one sustainability feature related to Energy Conservation or Energy Efficiency </t>
  </si>
  <si>
    <t>• one sustainability feature related to Water Conservation or Water Efficiency</t>
  </si>
  <si>
    <t>• one sustainability feature related to Health &amp; Comfort</t>
  </si>
  <si>
    <t>• Evidence showing that the green awareness campaign is implemented such as photographs, etc.</t>
  </si>
  <si>
    <t>• If possible, signed letter from the tenant that a green awareness campaign will be implemented</t>
  </si>
  <si>
    <t>Reply to the questions below on the preventative maintenance plan:</t>
  </si>
  <si>
    <t>Compliant preventative maintenance plan ?</t>
  </si>
  <si>
    <t>Additional information</t>
  </si>
  <si>
    <t>Points targeted</t>
  </si>
  <si>
    <t>Note: This sheet is for projects to provide additional information and comments on the credits pursued.
If a credit is not achieved after completing the User Tool but the project wants to claim the credit using an alternative compliance path, it should be described here.</t>
  </si>
  <si>
    <t>• Instructions for operation and maintenance (including health and safety
information, general instructions for efficient operation and periodical maintenance)</t>
  </si>
  <si>
    <t>Complete the information below on the commissioning activities:</t>
  </si>
  <si>
    <t>Complete the table below with information on the facilities and amenities accessible to project occupants:</t>
  </si>
  <si>
    <t>• Recreational facilities (e.g. sleeping/rest room, fitness room, library, etc.);</t>
  </si>
  <si>
    <t>• Medical room with First-Aid-Kit Facility</t>
  </si>
  <si>
    <t>• Garden with seats (can be a sky garden or a roof garden)</t>
  </si>
  <si>
    <t>• Fully equipped pantries</t>
  </si>
  <si>
    <t>• Dry-cleaning facilities</t>
  </si>
  <si>
    <t>• Other facilities or amenities</t>
  </si>
  <si>
    <t>• Plans indicating location, size and capacity of parking spaces, showering facilities and lockers</t>
  </si>
  <si>
    <t>• Photographs of the parking spaces, showering facilities and lockers</t>
  </si>
  <si>
    <t>Walking distance should be measured from the public transportation service location to the closest building entrance.</t>
  </si>
  <si>
    <t>Location of the service</t>
  </si>
  <si>
    <t>Application and Registration</t>
  </si>
  <si>
    <t xml:space="preserve">• If possible, signed letter from the tenant committing to implement a green transportation program.  </t>
  </si>
  <si>
    <t>• Evidence showing the implementation of the green transportation program, such as photographs, building policies, receipts, etc.</t>
  </si>
  <si>
    <t>• If possible, letter of intent from tenant indicating that the information will be maintained</t>
  </si>
  <si>
    <t>The tenant should sign a Green lease with the building owner/landlord and the lease should include the following elements:</t>
  </si>
  <si>
    <t>• Copy (or extracts) of the lease agreement showing the fixed term period of the lease</t>
  </si>
  <si>
    <t>Complete the information below on the post-occupancy comfort survey:</t>
  </si>
  <si>
    <t>Average</t>
  </si>
  <si>
    <t>Comfort Categories with low satisfaction</t>
  </si>
  <si>
    <t>Measurements to be realised</t>
  </si>
  <si>
    <t>If necessary, complete the table below with information on the action plan:</t>
  </si>
  <si>
    <t xml:space="preserve">Proposed corrective actions </t>
  </si>
  <si>
    <t>• If possible, letter of intent from tenant indicating that a post-occupancy comfort survey will be realised</t>
  </si>
  <si>
    <t xml:space="preserve">• Results of the post-occupancy comfort survey </t>
  </si>
  <si>
    <t>• Evidence that the measurements and corrective actions have been undertaken</t>
  </si>
  <si>
    <t>LOTUS Project Application Form</t>
  </si>
  <si>
    <t>1. Project Information</t>
  </si>
  <si>
    <t>Project name</t>
  </si>
  <si>
    <t>Project address</t>
  </si>
  <si>
    <t>Describe type of works</t>
  </si>
  <si>
    <r>
      <t>Project size (Gross Floor Area in m</t>
    </r>
    <r>
      <rPr>
        <vertAlign val="superscript"/>
        <sz val="11"/>
        <color theme="1"/>
        <rFont val="Arial"/>
        <family val="2"/>
      </rPr>
      <t>2</t>
    </r>
    <r>
      <rPr>
        <sz val="11"/>
        <color theme="1"/>
        <rFont val="Arial"/>
        <family val="2"/>
      </rPr>
      <t>, excluding car park areas)</t>
    </r>
  </si>
  <si>
    <t>Number of storeys</t>
  </si>
  <si>
    <t>Brief project description and major design features
(images can be attached to this form and sent by email)</t>
  </si>
  <si>
    <t>Expected construction start date</t>
  </si>
  <si>
    <t>Expected completion date</t>
  </si>
  <si>
    <t>Desired LOTUS Rating</t>
  </si>
  <si>
    <t xml:space="preserve">Is the project confidential?  </t>
  </si>
  <si>
    <t>2. Project Owner Information</t>
  </si>
  <si>
    <t>Name</t>
  </si>
  <si>
    <t>Address</t>
  </si>
  <si>
    <t>Phone</t>
  </si>
  <si>
    <t>Mobile phone</t>
  </si>
  <si>
    <t>Email address</t>
  </si>
  <si>
    <t>3. Applicant Representative (if any) *</t>
  </si>
  <si>
    <t>Organization</t>
  </si>
  <si>
    <t>4. LOTUS Requirements</t>
  </si>
  <si>
    <t>As the project owner (or the Applicant Representative), I understand the following:</t>
  </si>
  <si>
    <t>Buildings can only be assessed by the VGBC if they meet all LOTUS Homes eligibility criteria.</t>
  </si>
  <si>
    <t>LOTUS ratings can only be marketed after the project has been formally assessed by the VGBC and a certification has been awarded. Marketing resources will be provided by the VGBC to assist with marketing.</t>
  </si>
  <si>
    <t>Documentation provided must accurately represent the project. The VGBC can request additional documentation from the project team to verify the environmental initiatives being claimed.</t>
  </si>
  <si>
    <t>5. Application/Submission</t>
  </si>
  <si>
    <t>Signature of the Owner or Representative</t>
  </si>
  <si>
    <t>Organization stamp (if any):</t>
  </si>
  <si>
    <t>Date</t>
  </si>
  <si>
    <t>Organization (if any)</t>
  </si>
  <si>
    <t>Billing Address</t>
  </si>
  <si>
    <t>Please send the duly completed form to:</t>
  </si>
  <si>
    <t>Vietnam Green Building Council</t>
  </si>
  <si>
    <r>
      <t xml:space="preserve">Email: </t>
    </r>
    <r>
      <rPr>
        <u/>
        <sz val="11"/>
        <color rgb="FFFFFFFF"/>
        <rFont val="Arial"/>
        <family val="2"/>
      </rPr>
      <t>certification@vgbc.org.vn</t>
    </r>
  </si>
  <si>
    <t>• The application will not be processed unless this form is duly completed.</t>
  </si>
  <si>
    <t>• The applicant will be informed of the non-refundable registration fees which will be paid upon acceptance of the application form.</t>
  </si>
  <si>
    <t>• A notification of payment document will be issued once the Application has been approved. 
The registration fee must be made within 5 working days as soon as the applicant receives this document</t>
  </si>
  <si>
    <t>• Registration is not finalised until all fees and agreements have been completed.</t>
  </si>
  <si>
    <t>For VGBC Use</t>
  </si>
  <si>
    <t>LOTUS Registration No.</t>
  </si>
  <si>
    <t>Date of submission</t>
  </si>
  <si>
    <t>*The Applicant Representative is responsible for all elements of the certification and submission process within LOTUS Rating Systems. The Applicant Representative will directly liaise with the VGBC Representative throughout all stages of LOTUS Certification.</t>
  </si>
  <si>
    <t>Select water efficient appliances that meet the requirements in Table W.1.</t>
  </si>
  <si>
    <t>• Tender stage hydraulic plans and schematics indicating types of water fixtures</t>
  </si>
  <si>
    <t>• Tender stage specification extracts -OR- Manufacturer’s published data of all water fixtures proposed indicating the water usage of the fixture (flowrate or flush size)</t>
  </si>
  <si>
    <t xml:space="preserve">The baseline annual water use is calculated using values in Tables W.2 to W.6 (available in Resources sheet) </t>
  </si>
  <si>
    <t xml:space="preserve">W-1 Water Efficient Fixtures  </t>
  </si>
  <si>
    <t>Fixture</t>
  </si>
  <si>
    <t>Daily Fixture Uses</t>
  </si>
  <si>
    <t>Full Time Occupants</t>
  </si>
  <si>
    <t>Visitors</t>
  </si>
  <si>
    <t>WC - Single Flush (female)</t>
  </si>
  <si>
    <t>-</t>
  </si>
  <si>
    <t>WC - Dual flush (female)</t>
  </si>
  <si>
    <t>1 full-flush /</t>
  </si>
  <si>
    <t>2 half-flushes</t>
  </si>
  <si>
    <t xml:space="preserve">0.1 full-flush / </t>
  </si>
  <si>
    <t>0.4 half-flush</t>
  </si>
  <si>
    <t>WC - Single Flush (male)</t>
  </si>
  <si>
    <t>WC - Dual flush (male)</t>
  </si>
  <si>
    <t>1 full-flush</t>
  </si>
  <si>
    <t>0.1 full-flush</t>
  </si>
  <si>
    <t>Urinal (male)</t>
  </si>
  <si>
    <t>Lavatory Faucet</t>
  </si>
  <si>
    <t>15 sec; 12 sec with auto-control</t>
  </si>
  <si>
    <t>Shower</t>
  </si>
  <si>
    <t>300 sec</t>
  </si>
  <si>
    <t>Kitchen Sink</t>
  </si>
  <si>
    <t>15 sec</t>
  </si>
  <si>
    <t>Duration of Use 
(flow fixtures)</t>
  </si>
  <si>
    <t>(Source: Default Fixture Uses, LEED Reference Guide for Green Building and Construction, 2009)</t>
  </si>
  <si>
    <r>
      <rPr>
        <sz val="10"/>
        <color rgb="FF0070C0"/>
        <rFont val="Arial"/>
        <family val="2"/>
      </rPr>
      <t>Table W.2</t>
    </r>
    <r>
      <rPr>
        <sz val="10"/>
        <rFont val="Arial"/>
        <family val="2"/>
      </rPr>
      <t xml:space="preserve">: Baseline daily fixture uses for office, hospitals &amp; factory buildings </t>
    </r>
  </si>
  <si>
    <r>
      <rPr>
        <sz val="10"/>
        <color rgb="FF0070C0"/>
        <rFont val="Arial"/>
        <family val="2"/>
      </rPr>
      <t>Table W.3</t>
    </r>
    <r>
      <rPr>
        <sz val="10"/>
        <rFont val="Arial"/>
        <family val="2"/>
      </rPr>
      <t xml:space="preserve">: Baseline daily fixture uses for residential &amp; hotel buildings </t>
    </r>
  </si>
  <si>
    <t>Residents / Hotel Guests</t>
  </si>
  <si>
    <t>1 full-flush / 3 half-flushes</t>
  </si>
  <si>
    <t>1 full-flush / 2 half-flushes</t>
  </si>
  <si>
    <t>0.1 full-flush / 0.4 half-flushes</t>
  </si>
  <si>
    <t xml:space="preserve">1 full-flush </t>
  </si>
  <si>
    <t>Residents: 60 sec. Others: 15 sec or 12 sec with auto-control</t>
  </si>
  <si>
    <t>Residents: 480 sec. Others: 300 sec</t>
  </si>
  <si>
    <t>Clothes washer</t>
  </si>
  <si>
    <t>1 / living unit</t>
  </si>
  <si>
    <r>
      <rPr>
        <sz val="10"/>
        <color rgb="FF0070C0"/>
        <rFont val="Arial"/>
        <family val="2"/>
      </rPr>
      <t>Table W.4</t>
    </r>
    <r>
      <rPr>
        <sz val="10"/>
        <rFont val="Arial"/>
        <family val="2"/>
      </rPr>
      <t xml:space="preserve">: Baseline daily fixture uses for educational buildings </t>
    </r>
  </si>
  <si>
    <t>0.5 full-flush / 1 half-flushes</t>
  </si>
  <si>
    <t xml:space="preserve">0.5 full-flush </t>
  </si>
  <si>
    <t xml:space="preserve">Residents: 60 sec. Others: 15 sec </t>
  </si>
  <si>
    <r>
      <rPr>
        <sz val="10"/>
        <color rgb="FF0070C0"/>
        <rFont val="Arial"/>
        <family val="2"/>
      </rPr>
      <t>Table W.5</t>
    </r>
    <r>
      <rPr>
        <sz val="10"/>
        <rFont val="Arial"/>
        <family val="2"/>
      </rPr>
      <t xml:space="preserve">: Baseline daily fixture uses for retail buildings </t>
    </r>
  </si>
  <si>
    <t>Retail Customers</t>
  </si>
  <si>
    <t>0.1 full-flush / 0.1 half-flushes</t>
  </si>
  <si>
    <t>Fixtures Water Use</t>
  </si>
  <si>
    <t>WC (single/dual flush)</t>
  </si>
  <si>
    <t>6.0 L per flush (Lpf)</t>
  </si>
  <si>
    <t>Urinal (flush)</t>
  </si>
  <si>
    <t>3.79 Lpf</t>
  </si>
  <si>
    <t>Faucet (conventional)</t>
  </si>
  <si>
    <t>0.14 L/s</t>
  </si>
  <si>
    <t>Showerheads</t>
  </si>
  <si>
    <t>0.16 L/s</t>
  </si>
  <si>
    <t>Kitchen faucet</t>
  </si>
  <si>
    <t>120 L/load</t>
  </si>
  <si>
    <t>(Source: UPC and IPC Standards)</t>
  </si>
  <si>
    <r>
      <rPr>
        <sz val="10"/>
        <color rgb="FF0070C0"/>
        <rFont val="Arial"/>
        <family val="2"/>
      </rPr>
      <t>Table W.6</t>
    </r>
    <r>
      <rPr>
        <sz val="10"/>
        <rFont val="Arial"/>
        <family val="2"/>
      </rPr>
      <t xml:space="preserve">: Baseline fixtures water use </t>
    </r>
  </si>
  <si>
    <t>Students
(kindergarten and primary education)</t>
  </si>
  <si>
    <t>Students (secondary &amp; post/secondary education)</t>
  </si>
  <si>
    <t>Design Water Use per day (L)</t>
  </si>
  <si>
    <t>Baseline water use per day (L)</t>
  </si>
  <si>
    <t>Complete the LOTUS Water Calculation Tool to calculate the daily design and baseline water use through fixtures.</t>
  </si>
  <si>
    <r>
      <rPr>
        <sz val="10"/>
        <color rgb="FF0070C0"/>
        <rFont val="Arial"/>
        <family val="2"/>
      </rPr>
      <t>Table W.1</t>
    </r>
    <r>
      <rPr>
        <sz val="10"/>
        <rFont val="Arial"/>
        <family val="2"/>
      </rPr>
      <t>: Requirements for water efficient appliances (Source: LEED ID+C v4)</t>
    </r>
  </si>
  <si>
    <t>Fixture type</t>
  </si>
  <si>
    <t>Water Use</t>
  </si>
  <si>
    <t>Dishwasher (undercounter)</t>
  </si>
  <si>
    <t>Combination oven (Roll-in)</t>
  </si>
  <si>
    <t>Combination oven (Countertop or stand)</t>
  </si>
  <si>
    <t>Food steamer (batch)</t>
  </si>
  <si>
    <t>Food steamer (Cook-to-order)</t>
  </si>
  <si>
    <t>Dishwasher (Flight machine)</t>
  </si>
  <si>
    <t>Dishwasher (Multiple tank, conveyor)</t>
  </si>
  <si>
    <t>Dishwasher (Single tank, conveyor)</t>
  </si>
  <si>
    <t>Dishwasher (Stationary, single tank, door)</t>
  </si>
  <si>
    <t xml:space="preserve"> liters/rack</t>
  </si>
  <si>
    <t>Energy Star or equivalent</t>
  </si>
  <si>
    <t xml:space="preserve">l per minute </t>
  </si>
  <si>
    <t>l per cubic meter of laundry</t>
  </si>
  <si>
    <t>liters/rack</t>
  </si>
  <si>
    <t>liters/hour</t>
  </si>
  <si>
    <t>liters/hour/pan</t>
  </si>
  <si>
    <t>l per load</t>
  </si>
  <si>
    <t>Residential dishwashers (standard and compact)</t>
  </si>
  <si>
    <t>Complete the Table below with information on all the process water fixtures:</t>
  </si>
  <si>
    <t>Compliant Commissioning ?</t>
  </si>
  <si>
    <t xml:space="preserve">• Is the project located in Sapa, Đà Lạt or Tam Đảo ? </t>
  </si>
  <si>
    <t>Reply to the question below and complete the table below with information on all the occupied rooms of the space:</t>
  </si>
  <si>
    <r>
      <t xml:space="preserve"> Ventilation inlet openable area (m</t>
    </r>
    <r>
      <rPr>
        <vertAlign val="superscript"/>
        <sz val="10"/>
        <color indexed="9"/>
        <rFont val="Arial"/>
        <family val="2"/>
      </rPr>
      <t>2</t>
    </r>
    <r>
      <rPr>
        <sz val="10"/>
        <color indexed="9"/>
        <rFont val="Arial"/>
        <family val="2"/>
      </rPr>
      <t>)</t>
    </r>
  </si>
  <si>
    <r>
      <t xml:space="preserve"> Ventilation outlet openable area (m</t>
    </r>
    <r>
      <rPr>
        <vertAlign val="superscript"/>
        <sz val="10"/>
        <color indexed="9"/>
        <rFont val="Arial"/>
        <family val="2"/>
      </rPr>
      <t>2</t>
    </r>
    <r>
      <rPr>
        <sz val="10"/>
        <color indexed="9"/>
        <rFont val="Arial"/>
        <family val="2"/>
      </rPr>
      <t>)</t>
    </r>
  </si>
  <si>
    <t xml:space="preserve"> Ventilation inlet comply?</t>
  </si>
  <si>
    <t xml:space="preserve"> Ventilation outlet comply?</t>
  </si>
  <si>
    <t>Direct air flow path?</t>
  </si>
  <si>
    <t>Plan depth of the occupied room (m)</t>
  </si>
  <si>
    <t>Outlet openings located not lower than inlet openings?</t>
  </si>
  <si>
    <t>Ventilated through adjoining rooms?</t>
  </si>
  <si>
    <t>Room Comply?</t>
  </si>
  <si>
    <t>Hugo Fontourcy, Melissa Merryweather, Vũ Hồng Phong</t>
  </si>
  <si>
    <t>Đỗ Ngọc Diệp, Héloïse Pelen, Nguyen Van Muon, Nicolas Jallade, Patrick Bivona, Phạm Hoàng Trung, Tim Middleton, Samantha Miller, Yannick Millet</t>
  </si>
  <si>
    <t>• LOTUS Water Calculation Tool. The use of this tool is necessary to perform the calculations of water savings.</t>
  </si>
  <si>
    <t>Scope of the commissioning activities</t>
  </si>
  <si>
    <t>• Heating, ventilating, air conditioning and refrigeration (HVAC &amp; R) systems</t>
  </si>
  <si>
    <t xml:space="preserve">• Artificial lighting systems </t>
  </si>
  <si>
    <t>• Hot water systems</t>
  </si>
  <si>
    <t>• Renewable energy systems (for instance, wind, solar)</t>
  </si>
  <si>
    <t>• Plumbing systems</t>
  </si>
  <si>
    <t>Type of demand control ventilation</t>
  </si>
  <si>
    <t xml:space="preserve">CO2 Sensors </t>
  </si>
  <si>
    <t>Occupancy sensors</t>
  </si>
  <si>
    <t>Time-of-Day Schedules</t>
  </si>
  <si>
    <t>People Counters</t>
  </si>
  <si>
    <t>Provide controls capable of sensing space conditions and modulating the HVAC system in response to space demand. The following controls can be used:</t>
  </si>
  <si>
    <t>Compliant demand control ventilation ?</t>
  </si>
  <si>
    <t>Complete the Table below with information on all the different HVAC systems:</t>
  </si>
  <si>
    <t>Room type</t>
  </si>
  <si>
    <t xml:space="preserve">• Tender stage schematic drawings of the HVAC system indicating location of all the demand controls </t>
  </si>
  <si>
    <t>• Tender stage specifications of the HVAC system indicating the controls to be installed and explaining how demand control ventilation will work.</t>
  </si>
  <si>
    <t>• Evidence showing that the controls have been installed and work effectively such as photographs, commissioning records, etc.</t>
  </si>
  <si>
    <t>Reply to the question below:</t>
  </si>
  <si>
    <t>• Has a radiant cooling system been used?</t>
  </si>
  <si>
    <t xml:space="preserve">Use a radiant cooling system to meet the cooling demand or a part of the cooling demand of the project space. </t>
  </si>
  <si>
    <t>A radiant cooling system cools surfaces (floor or ceiling) rather than air like typical HVAC systems do.</t>
  </si>
  <si>
    <t>With radiant cooling systems, most of the cooling comes from removing sensible heat through radiant exchange with people and objects.</t>
  </si>
  <si>
    <t>This way, occupant thermal comfort can be achieved with warmer interior air temperatures than with air based cooling systems.</t>
  </si>
  <si>
    <t>• Which type of radiant cooling system has been used?</t>
  </si>
  <si>
    <t>• Describe the way the radiant cooling system operates:</t>
  </si>
  <si>
    <t>Compliant radiant cooling system ?</t>
  </si>
  <si>
    <t>Percentage of occupied areas with fans (%)</t>
  </si>
  <si>
    <t>Radiant cooling system: Submit all the documentation listed below:</t>
  </si>
  <si>
    <t>For locations where the hottest month average maximum temperature is above 30°C, a space shall be considered to be naturally ventilated if it meets the following specifications:</t>
  </si>
  <si>
    <t xml:space="preserve">• Ventilation outlet: Outlet openings shall be placed on the leeward side of the building. The total effective area of operable openings through the ceiling or the opposite wall from the ventilation inlet (outlet area) shall be no less than the inlet area.  </t>
  </si>
  <si>
    <t>• There should be a direct and unobstructed route between the windward inlet and leeward outlet openings (direct path to the outside).</t>
  </si>
  <si>
    <t>• All area within any naturally-ventilated space shall be within 8 meters of (and permanently open to) an operable wall or roof opening.</t>
  </si>
  <si>
    <t>• Plan depth of the occupied space shall not be greater than 15m</t>
  </si>
  <si>
    <t>• Outlet openings shall be located not lower than inlet openings</t>
  </si>
  <si>
    <t>Percentage of occupied areas with natural ventilation (%)</t>
  </si>
  <si>
    <t>Enthalpy recovery systems: Submit all the documentation listed below:</t>
  </si>
  <si>
    <t>Describe the green cleaning procedures implemented:</t>
  </si>
  <si>
    <r>
      <t>Occupied area with compliant daylighting (m</t>
    </r>
    <r>
      <rPr>
        <vertAlign val="superscript"/>
        <sz val="11"/>
        <color theme="0"/>
        <rFont val="Arial"/>
        <family val="2"/>
      </rPr>
      <t>2</t>
    </r>
    <r>
      <rPr>
        <sz val="11"/>
        <color theme="0"/>
        <rFont val="Arial"/>
        <family val="2"/>
      </rPr>
      <t>)</t>
    </r>
  </si>
  <si>
    <t>• Plans and elevations outlining occupied areas, compliant areas and indicating all glazing and its size</t>
  </si>
  <si>
    <t>Occupied Room</t>
  </si>
  <si>
    <t>Occupancy</t>
  </si>
  <si>
    <t>Adjusted parameter</t>
  </si>
  <si>
    <t>Thermal control provided?</t>
  </si>
  <si>
    <t>• People Counters: Infra-red or light beam sensor technology to count the number of people in a building space or the number of people that pass through a door.</t>
  </si>
  <si>
    <t xml:space="preserve">• Occupancy sensors that detect whether there are people in the zone or not can be used for certain zone types as an indicator of the approximate population in that zone. </t>
  </si>
  <si>
    <t>• Time-of-Day Schedules. For some zone types, such as school cafeterias or school lecture halls, a pretty accurate estimate of the daily zone population pattern can be obtained 
from simply using a time-of-day schedule.</t>
  </si>
  <si>
    <t>Complete commissioning tasks for all systems included in the scope of the project.</t>
  </si>
  <si>
    <r>
      <rPr>
        <sz val="12"/>
        <color indexed="9"/>
        <rFont val="Arial"/>
        <family val="2"/>
      </rPr>
      <t xml:space="preserve">Urinals
</t>
    </r>
    <r>
      <rPr>
        <sz val="10"/>
        <color indexed="9"/>
        <rFont val="Arial"/>
        <family val="2"/>
      </rPr>
      <t>Fixture Name</t>
    </r>
  </si>
  <si>
    <t xml:space="preserve">The aim of this calculation is to compare the water consumption through fixtures to a baseline model. </t>
  </si>
  <si>
    <t>Strategy B1: Building Water Use</t>
  </si>
  <si>
    <t>Replace or alter the water fixtures of the base building associated with the tenancy (i.e. project occupants need to use these fixtures) to reduce water consumption through fixtures.</t>
  </si>
  <si>
    <t>Base building water fixtures improved?</t>
  </si>
  <si>
    <t>Option B: Projects with no provision of bathroom water fixtures</t>
  </si>
  <si>
    <t>W-1 Water efficient fixtures Strategy A2 / B2</t>
  </si>
  <si>
    <t>W-1 Water efficient fixtures A3/B3</t>
  </si>
  <si>
    <t>• Evidence showing the performance of the existing base building water fixtures such as photographs, manufacturer's data, audit report, invoices, etc.</t>
  </si>
  <si>
    <t>• Tender stage specification extracts -OR- Manufacturer’s published data of all water appliances proposed indicating the water usage of the appliances</t>
  </si>
  <si>
    <t>Strategy B3: Process Water Use</t>
  </si>
  <si>
    <t>This strategy is only available to projects using some water appliances for process use as listed in table W.1</t>
  </si>
  <si>
    <t>Efficient water appliances for process use?</t>
  </si>
  <si>
    <t>Click on the links on 
the right to navigate to
other Energy credits</t>
  </si>
  <si>
    <t>Click on the links on the 
right to navigate to other 
Health &amp; Comfort credits</t>
  </si>
  <si>
    <t>Commissioning process</t>
  </si>
  <si>
    <t>List of equipment commissioned</t>
  </si>
  <si>
    <t>Complete the information below on the site safety and welfare strategies:</t>
  </si>
  <si>
    <t>Provided?</t>
  </si>
  <si>
    <t>• Toilets</t>
  </si>
  <si>
    <t>• Washing facilities</t>
  </si>
  <si>
    <t>• Drinking water</t>
  </si>
  <si>
    <t>• Changing rooms</t>
  </si>
  <si>
    <t>• Rest facilities</t>
  </si>
  <si>
    <t>• Others. Precise:</t>
  </si>
  <si>
    <t>Site amenities for construction workers</t>
  </si>
  <si>
    <t xml:space="preserve">Strategies to meet the safety requirements outlined in Circular No. 22/2010/TT-BXD on Labor Safety in Work Construction </t>
  </si>
  <si>
    <t>• Energy and water metering and data reporting requirements</t>
  </si>
  <si>
    <t>• Environmental Management Plan including requirements on water</t>
  </si>
  <si>
    <t>• Environmental Management Plan including requirements on energy</t>
  </si>
  <si>
    <t>• Environmental Management Plan including requirements on waste reduction/recycling</t>
  </si>
  <si>
    <t xml:space="preserve">• Environmental management plan including requirements for ongoing sustainable building management and operation on energy, water and waste reduction/recycling. </t>
  </si>
  <si>
    <t>• Copy (or extracts) of the lease agreement showing the elements specific to a Green lease - OR - copy of a signed agreement between the landlord and tenant following requirements</t>
  </si>
  <si>
    <t>• Air-conditioned spaces and mixed-mode ventilated spaces:</t>
  </si>
  <si>
    <t>• Non-air-conditioned spaces:</t>
  </si>
  <si>
    <t>Click on the links on the 
right to navigate to other 
Management credits</t>
  </si>
  <si>
    <t>• Tender stage specification extracts indicating the type of flooring products and the VOC limits for each product (where necessary) -OR- Manufacturer’s published data on any proposed low VOC products with an indication that the product adheres to a recognised international standard for VOC content</t>
  </si>
  <si>
    <t>• Tender stage calculations of the average illuminance values of all the occupied spaces</t>
  </si>
  <si>
    <t>• Management/disposal of hazardous waste (such as batteries, light fittings, cooking oil, etc.)</t>
  </si>
  <si>
    <t>Correction factor (dB,A)</t>
  </si>
  <si>
    <t>Measured noise level</t>
  </si>
  <si>
    <t xml:space="preserve">Maximum noise level
(dB,A) </t>
  </si>
  <si>
    <t>Complete the table below with information on the noise levels in all the occupied rooms:</t>
  </si>
  <si>
    <t xml:space="preserve">A. Indoor air velocity </t>
  </si>
  <si>
    <t>B. Reduction of external (solar) heat gains</t>
  </si>
  <si>
    <t>C. Reduction of internal heat gains</t>
  </si>
  <si>
    <t>- 50% of all the equipment installed have an energy label</t>
  </si>
  <si>
    <t>- average daylight factor is between 1.5% and 3.5%</t>
  </si>
  <si>
    <t>Reply to the question below and complete appropriate information on the thermal comfort in the interior project space:</t>
  </si>
  <si>
    <t>- exterior walls and roofs surrounding the space have a solar reflectivity &gt; 0.7 or are vegetated or have external shadings</t>
  </si>
  <si>
    <t>• dwelling-units in apartment buildings</t>
  </si>
  <si>
    <r>
      <rPr>
        <b/>
        <sz val="11"/>
        <rFont val="Calibri"/>
        <family val="2"/>
      </rPr>
      <t>•</t>
    </r>
    <r>
      <rPr>
        <b/>
        <sz val="11"/>
        <color rgb="FF58AB27"/>
        <rFont val="Calibri"/>
        <family val="2"/>
      </rPr>
      <t xml:space="preserve"> </t>
    </r>
    <r>
      <rPr>
        <b/>
        <sz val="11"/>
        <color rgb="FF58AB27"/>
        <rFont val="Calibri"/>
        <family val="2"/>
        <scheme val="minor"/>
      </rPr>
      <t>Energy (E)</t>
    </r>
    <r>
      <rPr>
        <sz val="11"/>
        <color theme="1"/>
        <rFont val="Calibri"/>
        <family val="2"/>
        <scheme val="minor"/>
      </rPr>
      <t xml:space="preserve"> - To monitor and reduce the energy consumption through the use of natural ventilation and the installation of energy efficient equipment (HVAC, lighting, etc.).</t>
    </r>
  </si>
  <si>
    <r>
      <rPr>
        <b/>
        <sz val="11"/>
        <rFont val="Calibri"/>
        <family val="2"/>
        <scheme val="minor"/>
      </rPr>
      <t>•</t>
    </r>
    <r>
      <rPr>
        <b/>
        <sz val="11"/>
        <color rgb="FF943634"/>
        <rFont val="Calibri"/>
        <family val="2"/>
        <scheme val="minor"/>
      </rPr>
      <t xml:space="preserve"> Health and Comfort (H) </t>
    </r>
    <r>
      <rPr>
        <sz val="11"/>
        <rFont val="Calibri"/>
        <family val="2"/>
        <scheme val="minor"/>
      </rPr>
      <t xml:space="preserve"> - To ensure high indoor environmental quality, through the optimization of the indoor air quality, daylighting and views, and occupant comfort.</t>
    </r>
  </si>
  <si>
    <t>Round 1</t>
  </si>
  <si>
    <t>Round 2</t>
  </si>
  <si>
    <t>Click on the links on 
the right to navigate to 
other Water credits</t>
  </si>
  <si>
    <t>Click on the links on 
the right to navigate to
 other Water credits</t>
  </si>
  <si>
    <t>Step 1: define the project: interior space type, number of floors, number and type of rooms, GFA, etc.</t>
  </si>
  <si>
    <t>• Does the tenant mainly want to decrease operational costs (through energy and water savings)?</t>
  </si>
  <si>
    <t xml:space="preserve">• Does the tenant mainly want to improve comfort (improve ventilation, daylight, vegetation, etc.)? </t>
  </si>
  <si>
    <t>• Does the tenant mainly want to limit environmantal impacts?</t>
  </si>
  <si>
    <t>LOTUS AP (if any)</t>
  </si>
  <si>
    <t>Submit the completed User Tool to VGBC with:</t>
  </si>
  <si>
    <t>The Project Information sheet fully completeed</t>
  </si>
  <si>
    <t>A minimum of 5 credit sheets completed</t>
  </si>
  <si>
    <t>Consistent information throughout the credits (for example, same information input on lighting fixtures in credit E-2 Artificial Lighting and Credit H-9 Lighting Comfort)</t>
  </si>
  <si>
    <t>Submit other documents (if needed):</t>
  </si>
  <si>
    <t>Submit the completed User Tool by email to: certification@vgbc.org.vn</t>
  </si>
  <si>
    <t xml:space="preserve">Completed credit sheets for all targeted credits </t>
  </si>
  <si>
    <t>Notification Form submitted to VGBC a minimum of 2 weeks before submissions</t>
  </si>
  <si>
    <t>Inside of documents submitted, highlight the relevant information for LOTUS credits where suitable</t>
  </si>
  <si>
    <t>Documents are clearly named with a reference to the credit (for example, E-2 - Manufacturer's data of HVAC system, H-9 - Tender stage interior lighting drawings)</t>
  </si>
  <si>
    <t>Also, submit the following:</t>
  </si>
  <si>
    <t>Green Cleaning</t>
  </si>
  <si>
    <t>Tenancy Lease</t>
  </si>
  <si>
    <t>Green Transportation</t>
  </si>
  <si>
    <t>Facilities and Amenities for Occupants</t>
  </si>
  <si>
    <t>• Storage units (cabinets, lockers, dressers, closets, chess, bookcases, pantries, etc.)</t>
  </si>
  <si>
    <r>
      <rPr>
        <b/>
        <sz val="11"/>
        <rFont val="Calibri"/>
        <family val="2"/>
        <scheme val="minor"/>
      </rPr>
      <t>•</t>
    </r>
    <r>
      <rPr>
        <b/>
        <sz val="11"/>
        <color rgb="FF0070C0"/>
        <rFont val="Calibri"/>
        <family val="2"/>
        <scheme val="minor"/>
      </rPr>
      <t xml:space="preserve"> Water (W)</t>
    </r>
    <r>
      <rPr>
        <sz val="11"/>
        <rFont val="Calibri"/>
        <family val="2"/>
        <scheme val="minor"/>
      </rPr>
      <t xml:space="preserve"> - To reduce the water consumption through the use of water-efficient fixtures and to reduce consumption of bottled drinking water.</t>
    </r>
  </si>
  <si>
    <t>To reduce the water consumption through the use of water-efficient fixtures and to reduce consumption of bottled drinking water.</t>
  </si>
  <si>
    <t>To monitor and reduce the energy consumption through the use of natural ventilation and the installation of energy efficient equipment (HVAC, lighting, appliances, etc.).</t>
  </si>
  <si>
    <t>To ensure high indoor environmental quality, through the optimization of the indoor air quality, daylighting and views, and occupant comfort.</t>
  </si>
  <si>
    <r>
      <t>Area with quality views (m</t>
    </r>
    <r>
      <rPr>
        <vertAlign val="superscript"/>
        <sz val="10"/>
        <color theme="0"/>
        <rFont val="Arial"/>
        <family val="2"/>
      </rPr>
      <t>2</t>
    </r>
    <r>
      <rPr>
        <sz val="10"/>
        <color theme="0"/>
        <rFont val="Arial"/>
        <family val="2"/>
      </rPr>
      <t>)</t>
    </r>
  </si>
  <si>
    <t>• have a direct line of sight to an external view that is unobstructed for at least 8 meters from the exterior of the glazing,</t>
  </si>
  <si>
    <t>• have a direct line of sight to an external view that includes vegetation, fauna or sky,</t>
  </si>
  <si>
    <t>• have a direct line of sight to an external view that includes movement,</t>
  </si>
  <si>
    <r>
      <t>Areas with quality views (m</t>
    </r>
    <r>
      <rPr>
        <vertAlign val="superscript"/>
        <sz val="10"/>
        <color theme="0"/>
        <rFont val="Arial"/>
        <family val="2"/>
      </rPr>
      <t>2</t>
    </r>
    <r>
      <rPr>
        <sz val="10"/>
        <color theme="0"/>
        <rFont val="Arial"/>
        <family val="2"/>
      </rPr>
      <t>)</t>
    </r>
  </si>
  <si>
    <t>• have multiple lines of sight to the outdoors via vision glazing in different directions at least 90 degrees apart.</t>
  </si>
  <si>
    <t>Type of quality view 1</t>
  </si>
  <si>
    <t>Type of quality view 2</t>
  </si>
  <si>
    <t>The direct lines of sight to the outdoors must be determined as follows:</t>
  </si>
  <si>
    <t>When more than 75% of a room’s floor area has a direct line of sight to the outdoors, the entire room floor area is counted towards having a view to the outdoors.</t>
  </si>
  <si>
    <t>When more than 75% of a room’s floor area has quality views, the entire room floor area is counted towards having quality views and is compliant.</t>
  </si>
  <si>
    <t>The Project Information sheet fully completed</t>
  </si>
  <si>
    <t>Complete the Table below with the following inputs on all the air-conditioning systems installed:</t>
  </si>
  <si>
    <t>Maximum distance from an opening (m)</t>
  </si>
  <si>
    <r>
      <t>Size of the opening between rooms (m</t>
    </r>
    <r>
      <rPr>
        <vertAlign val="superscript"/>
        <sz val="10"/>
        <color indexed="9"/>
        <rFont val="Arial"/>
        <family val="2"/>
      </rPr>
      <t>2</t>
    </r>
    <r>
      <rPr>
        <sz val="10"/>
        <color indexed="9"/>
        <rFont val="Arial"/>
        <family val="2"/>
      </rPr>
      <t>)</t>
    </r>
  </si>
  <si>
    <t>Mechanically ventilated spaces:</t>
  </si>
  <si>
    <t>Mixed-mode ventilated spaces:</t>
  </si>
  <si>
    <t>Complete the Table below with information on all the occupied rooms with natural ventilation and mixed-mode ventilation:</t>
  </si>
  <si>
    <t>Naturally ventilated and mixed-mode ventilated spaces:</t>
  </si>
  <si>
    <t>Mechanically ventilated and mixed-mode ventilated spaces:</t>
  </si>
  <si>
    <t>Compliant with a recognised standard?</t>
  </si>
  <si>
    <t>For naturally ventilated and mixed-mode ventilated spaces: Submit all the documentation listed below:</t>
  </si>
  <si>
    <t>For mechanically ventilated and mixed-mode ventilated spaces: Submit all the documentation listed below:</t>
  </si>
  <si>
    <t>Types of Ventilation</t>
  </si>
  <si>
    <t>• Mechanically ventilated spaces</t>
  </si>
  <si>
    <t>• Naturally ventilated spaces</t>
  </si>
  <si>
    <t>• Mixed-mode ventilated spaces</t>
  </si>
  <si>
    <t>Included in the project?</t>
  </si>
  <si>
    <t>Complete the Table below with information on the types of ventilation included in the project:</t>
  </si>
  <si>
    <t>Products which are not certified by a recognized green labelling scheme but can justify compliance with the Green Specifications of a recognized green labelling scheme will be considered as Environmentally friendly cleaning products under LOTUS.</t>
  </si>
  <si>
    <t>Calculations for this credit can be done using a daylight modelling software or using spreadsheet calculations (table below)</t>
  </si>
  <si>
    <t>• Lines of sight can pass through 2 interior glazing surfaces, but not a doorway with a solid door. Moveable partitions and non-fixed furniture shall not be taken into account.</t>
  </si>
  <si>
    <t>• Lines of sight begin at 45 degrees from the edge of each external view</t>
  </si>
  <si>
    <r>
      <rPr>
        <b/>
        <sz val="10"/>
        <rFont val="Arial"/>
        <family val="2"/>
      </rPr>
      <t xml:space="preserve">Strategy B : Quality views </t>
    </r>
    <r>
      <rPr>
        <sz val="10"/>
        <rFont val="Arial"/>
        <family val="2"/>
      </rPr>
      <t xml:space="preserve">
60% of the net occupied area has quality views</t>
    </r>
  </si>
  <si>
    <r>
      <rPr>
        <b/>
        <sz val="10"/>
        <rFont val="Arial"/>
        <family val="2"/>
      </rPr>
      <t>Strategy A : External views</t>
    </r>
    <r>
      <rPr>
        <sz val="10"/>
        <rFont val="Arial"/>
        <family val="2"/>
      </rPr>
      <t xml:space="preserve">
For 1 point, 60% of the net occupied area achieves a direct line of sight to the outdoors via vision glazing
For 2 points, 80% of the net occupied area achieves a direct line of sight to the outdoors via vision glazing</t>
    </r>
  </si>
  <si>
    <t>Application</t>
  </si>
  <si>
    <r>
      <t>T</t>
    </r>
    <r>
      <rPr>
        <vertAlign val="subscript"/>
        <sz val="10"/>
        <color rgb="FFFFFFFF"/>
        <rFont val="Arial"/>
        <family val="2"/>
      </rPr>
      <t>60</t>
    </r>
    <r>
      <rPr>
        <sz val="10"/>
        <color rgb="FFFFFFFF"/>
        <rFont val="Arial"/>
        <family val="2"/>
      </rPr>
      <t xml:space="preserve"> (sec)</t>
    </r>
  </si>
  <si>
    <t>Apartment and condominium</t>
  </si>
  <si>
    <t>&lt; 0.6</t>
  </si>
  <si>
    <t>Hotel/motel</t>
  </si>
  <si>
    <t>Individual room or suite</t>
  </si>
  <si>
    <t>Meeting or banquet room</t>
  </si>
  <si>
    <t>&lt; 0.8</t>
  </si>
  <si>
    <t>Office building</t>
  </si>
  <si>
    <t>Executive or private office</t>
  </si>
  <si>
    <t>Conference or Teleconference room</t>
  </si>
  <si>
    <t xml:space="preserve">Open-plan office </t>
  </si>
  <si>
    <t>Hospital &amp; Clinic</t>
  </si>
  <si>
    <t>Private rooms</t>
  </si>
  <si>
    <t>Wards</t>
  </si>
  <si>
    <t>Courtroom</t>
  </si>
  <si>
    <t>Unamplified speech</t>
  </si>
  <si>
    <t>&lt; 0.7</t>
  </si>
  <si>
    <t>Amplified speech</t>
  </si>
  <si>
    <t>&lt; 1.0</t>
  </si>
  <si>
    <t>Performing arts space</t>
  </si>
  <si>
    <t>Drama theaters, concert and recital halls</t>
  </si>
  <si>
    <t>Varies by application</t>
  </si>
  <si>
    <t>Laboratories</t>
  </si>
  <si>
    <t>Testing or research with minimal speech communication</t>
  </si>
  <si>
    <t>Extensive phone use and speech communication</t>
  </si>
  <si>
    <t>Library</t>
  </si>
  <si>
    <t>Indoor stadium, gymnasium</t>
  </si>
  <si>
    <t>Gymnasium and natatorium</t>
  </si>
  <si>
    <t>&lt; 2.0</t>
  </si>
  <si>
    <t>Large-capacity space with speech amplification</t>
  </si>
  <si>
    <t>&lt; 1.5</t>
  </si>
  <si>
    <t>Classroom</t>
  </si>
  <si>
    <t>Large lecture room with speech amplification</t>
  </si>
  <si>
    <t>Large lecture room without speech amplification</t>
  </si>
  <si>
    <t>School2</t>
  </si>
  <si>
    <t>School3</t>
  </si>
  <si>
    <t>Indoor stadium, gymnasium2</t>
  </si>
  <si>
    <t>Laboratories2</t>
  </si>
  <si>
    <t>Courtroom2</t>
  </si>
  <si>
    <t>Hospital &amp; Clinic2</t>
  </si>
  <si>
    <t>Office building2</t>
  </si>
  <si>
    <t>Office building3</t>
  </si>
  <si>
    <t>Hotel/motel2</t>
  </si>
  <si>
    <t>Reverberation time requirements (T60)</t>
  </si>
  <si>
    <t>Information on the fine-tuning of all the commissioned systems</t>
  </si>
  <si>
    <t xml:space="preserve">Information on the measurement and monitoring </t>
  </si>
  <si>
    <t>Information on the interviews and/or surveys with all concerned parties and occupants</t>
  </si>
  <si>
    <t>Compliant on-going commissioning plan ?</t>
  </si>
  <si>
    <t>Complete the Table below with information on all non-air-conditioned occupied rooms:</t>
  </si>
  <si>
    <t>• Non-air-conditioned spaces</t>
  </si>
  <si>
    <t>• or, are classified as U.L.E.F. (ultra-low-emitting formaldehyde) or N.A.F. (no added formaldehyde)</t>
  </si>
  <si>
    <t>Low formaldehyde ?</t>
  </si>
  <si>
    <t>• Verify that installation meets construction details and manufacturer’s requirements</t>
  </si>
  <si>
    <t>• Verify proper operation (startup, shut down, and sequence of operation)</t>
  </si>
  <si>
    <t xml:space="preserve">Commissioning activities. </t>
  </si>
  <si>
    <t>For each equipment/system:</t>
  </si>
  <si>
    <t>• Perform Testing, Adjusting and Balancing (TAB)</t>
  </si>
  <si>
    <t>Percentage of compliant area  [%]</t>
  </si>
  <si>
    <t>Increase of indoor air velocity ?</t>
  </si>
  <si>
    <t xml:space="preserve"> Reduce external heat gains ?</t>
  </si>
  <si>
    <t xml:space="preserve"> Reduce internal heat gains ?</t>
  </si>
  <si>
    <t>total area</t>
  </si>
  <si>
    <t>compliant area</t>
  </si>
  <si>
    <t>• Air-conditioned spaces</t>
  </si>
  <si>
    <t>Compliant IAQ Management?</t>
  </si>
  <si>
    <t>Type of control</t>
  </si>
  <si>
    <t xml:space="preserve">HVAC zone controls are defined as equipment specially designed to automatically control the amount of air-conditioning and ventilation that is supplied to defined areas within a building, known as control zones, in an energy efficient manner.
They allow the environmental conditions in the control zones to be independently controlled to meet the desired conditions (internal air temperature and ventilation).
A HVAC zone control system always contains a central module (control panel) and may include sensors (temperature, humidity, occupancy), schedule control, actuators to drive valves or dampers, etc. </t>
  </si>
  <si>
    <r>
      <t>• CO</t>
    </r>
    <r>
      <rPr>
        <vertAlign val="subscript"/>
        <sz val="10"/>
        <rFont val="Arial"/>
        <family val="2"/>
      </rPr>
      <t>2</t>
    </r>
    <r>
      <rPr>
        <sz val="10"/>
        <rFont val="Arial"/>
        <family val="2"/>
      </rPr>
      <t xml:space="preserve"> Sensors that measure CO2 levels and indirectly help to determine how many people are in a room </t>
    </r>
  </si>
  <si>
    <t>Install a demand control ventilation system to control the fresh air intake and/or the temperature setpoints of spaces with special occupancy.</t>
  </si>
  <si>
    <t>Spaces with special occupancy can be conference rooms, break rooms, classrooms, gymnasiums with variable use patterns, cafeterias, hotel guest rooms, and other occupied spaces where energy savings can be achieved when the space is unoccupied.
Also, these spaces can be densely occupied spaces where energy savings can be achieved by adjusting the amount of fresh air supplied to the space when the space is partially occupied.</t>
  </si>
  <si>
    <t>Special occupancy?</t>
  </si>
  <si>
    <t>Complete the Table below with information on all the spaces with special occupancy in the interior project space:</t>
  </si>
  <si>
    <t>Install energy recovery ventilation systems on all the air handling units</t>
  </si>
  <si>
    <t>Energy recovery ventilation systems are systems exchanging the energy contained in normally exhausted building or space air and using it to treat (precondition) the incoming outdoor ventilation air. During the warmer seasons, the system pre-cools and dehumidifies while humidifying and pre-heating in the cooler seasons.
Energy recovery ventilation systems unlike heat recovery ventilation systems also transfer the humidity level of the exhaust air to the intake air, which improves the overall recovery efficiency</t>
  </si>
  <si>
    <t>Type 5</t>
  </si>
  <si>
    <t>Compliant energy recovery ventilation systems ?</t>
  </si>
  <si>
    <t xml:space="preserve">The general concept for plug load control is to provide two separate sets of receptacles. The electric circuits connected to one set of plugs are controlled by a device that can automatically turn off plug loads. This set of receptacles is called controlled receptacles and are marked differently from others. Non-controllable plug loads are connected to un-controlled receptacles so that their services will not be disrupted. Similar to general lighting shut off controls, building occupants should have easy access to manual switches to override the shut off controls. </t>
  </si>
  <si>
    <t>Complete the information below on the water fixtures of the base building:</t>
  </si>
  <si>
    <t>Spaces are naturally ventilated spaces when the indoor air is changed with outdoor air without the use of mechanical system.</t>
  </si>
  <si>
    <t>Complete the Table below with information on all the occupied rooms with mechanical ventilation and mixed-mode ventilation:</t>
  </si>
  <si>
    <t>A space served by a cooling equipment cannot be considered as naturally ventilated space. Such a space should adopt a mixed-mode ventilation system to be compliant.</t>
  </si>
  <si>
    <t>Note: Calculations of fresh air requirements are not included in the User Tool as they can be quite complex and depend on the standard followed.</t>
  </si>
  <si>
    <t>Provide sufficient fresh air supply to a minimum of 95% of the total net occupied area</t>
  </si>
  <si>
    <t>1. Fit-out project</t>
  </si>
  <si>
    <t>The project must be a fit-out project within a building. It may involve the design, construction and commissioning of a new fit-out or the renovation and refurbishment of an existing fit-out.</t>
  </si>
  <si>
    <t>2. Distinct boundary</t>
  </si>
  <si>
    <t>3. Complete interior space</t>
  </si>
  <si>
    <t xml:space="preserve">4. Length of Occupancy </t>
  </si>
  <si>
    <t>5. Occupancy rates</t>
  </si>
  <si>
    <r>
      <rPr>
        <u/>
        <sz val="10"/>
        <rFont val="Arial"/>
        <family val="2"/>
      </rPr>
      <t>Technique 2</t>
    </r>
    <r>
      <rPr>
        <sz val="10"/>
        <rFont val="Arial"/>
        <family val="2"/>
      </rPr>
      <t>: Monitor CO</t>
    </r>
    <r>
      <rPr>
        <vertAlign val="subscript"/>
        <sz val="10"/>
        <rFont val="Arial"/>
        <family val="2"/>
      </rPr>
      <t>2</t>
    </r>
    <r>
      <rPr>
        <sz val="10"/>
        <rFont val="Arial"/>
        <family val="2"/>
      </rPr>
      <t xml:space="preserve"> concentrations and manually amend the operation schedules of ventilation systems accordingly. Configure all monitoring systems to generate an alarm when the CO</t>
    </r>
    <r>
      <rPr>
        <vertAlign val="subscript"/>
        <sz val="10"/>
        <rFont val="Arial"/>
        <family val="2"/>
      </rPr>
      <t>2</t>
    </r>
    <r>
      <rPr>
        <sz val="10"/>
        <rFont val="Arial"/>
        <family val="2"/>
      </rPr>
      <t xml:space="preserve"> concentration gets higher than a CO</t>
    </r>
    <r>
      <rPr>
        <vertAlign val="subscript"/>
        <sz val="10"/>
        <rFont val="Arial"/>
        <family val="2"/>
      </rPr>
      <t>2max</t>
    </r>
    <r>
      <rPr>
        <sz val="10"/>
        <rFont val="Arial"/>
        <family val="2"/>
      </rPr>
      <t xml:space="preserve"> concentration set for each space. The alarm should be able to alert either the building operator through building automation system or the building occupants through visible or audible alerts. The CO</t>
    </r>
    <r>
      <rPr>
        <vertAlign val="subscript"/>
        <sz val="10"/>
        <rFont val="Arial"/>
        <family val="2"/>
      </rPr>
      <t>2max</t>
    </r>
    <r>
      <rPr>
        <sz val="10"/>
        <rFont val="Arial"/>
        <family val="2"/>
      </rPr>
      <t xml:space="preserve"> concentration, at which fresh air supply must be increased, shall be set at 1000 ppm or appropriately calculated for each different high density occupied area. Designers can refer to the Appendix A CO</t>
    </r>
    <r>
      <rPr>
        <vertAlign val="subscript"/>
        <sz val="10"/>
        <rFont val="Arial"/>
        <family val="2"/>
      </rPr>
      <t>2</t>
    </r>
    <r>
      <rPr>
        <sz val="10"/>
        <rFont val="Arial"/>
        <family val="2"/>
      </rPr>
      <t xml:space="preserve">-Based Demand Controlled Ventilation of ASHRAE 62.1 User’s Manual (2007 or 2010) for more details. </t>
    </r>
  </si>
  <si>
    <t>Complete the table below with information on all the flooring systems (including the finishing products) installed by the project:</t>
  </si>
  <si>
    <t>Flooring systems such as ceramic tiles, stone, rubber, self-leveling compounds, polished concrete, timber, etc. are exempted and do not need to justify a low VOC content.</t>
  </si>
  <si>
    <t xml:space="preserve">• A flush-out should be realized in all the occupied spaces of the interior project by supplying a minimum volume of fresh air in total air changes (TAC) prior to occupancy. </t>
  </si>
  <si>
    <r>
      <t>• Plants density: The density of plants should be higher than one plant unit for 2 full time occupants and higher than one plant unit for every 50 m</t>
    </r>
    <r>
      <rPr>
        <vertAlign val="superscript"/>
        <sz val="10"/>
        <rFont val="Arial"/>
        <family val="2"/>
      </rPr>
      <t>2</t>
    </r>
    <r>
      <rPr>
        <sz val="10"/>
        <rFont val="Arial"/>
        <family val="2"/>
      </rPr>
      <t xml:space="preserve"> of occupied area.</t>
    </r>
  </si>
  <si>
    <t>For each occupied room, it is possible to have different areas with different types of quality views (table below can include up to 3 different areas). For example, in one room, a part of the room may have a direct line of sight with a view including both vegetation and movement while another part of the room may have multiple lines of sight to the outdoors including a line of sight to an unobstructed external view.</t>
  </si>
  <si>
    <r>
      <rPr>
        <b/>
        <sz val="10"/>
        <rFont val="Arial"/>
        <family val="2"/>
      </rPr>
      <t>Option B: Base building with green attributes</t>
    </r>
    <r>
      <rPr>
        <sz val="10"/>
        <rFont val="Arial"/>
        <family val="2"/>
      </rPr>
      <t xml:space="preserve">
For 1 point, 2 green attributes are met by the base building
For 2 points, 4 green attributes are met by the base building</t>
    </r>
  </si>
  <si>
    <t>Option B: Base building with green attributes</t>
  </si>
  <si>
    <t>Install your interior project in a base building with green attributes.</t>
  </si>
  <si>
    <t>Number of green attributes in the base building</t>
  </si>
  <si>
    <t>Green base building</t>
  </si>
  <si>
    <t>• Is the base building certified under another recognised system?</t>
  </si>
  <si>
    <t>Rating System</t>
  </si>
  <si>
    <t>Complete the information below on the green building certification of the base building:</t>
  </si>
  <si>
    <t>For non-LOTUS certified base buildings:</t>
  </si>
  <si>
    <t>Equivalence to LOTUS Certification level</t>
  </si>
  <si>
    <t>Submitted</t>
  </si>
  <si>
    <t>Compliant internal noise levels?</t>
  </si>
  <si>
    <t>Install your interior project in a base building which is certified under a recognised green building certification system.</t>
  </si>
  <si>
    <t>- effective external shadings are installed on all the windows of the space</t>
  </si>
  <si>
    <t>Provide separate control zones for each solar exposure and for areas with different usage/occupancy needs through the use of HVAC zone controls</t>
  </si>
  <si>
    <t>Implement a Construction Noise Mitigation Strategy with adequate mitigation measures to limit construction noise.</t>
  </si>
  <si>
    <t>Other measure:</t>
  </si>
  <si>
    <t>• Accomodation</t>
  </si>
  <si>
    <t>At least, implement 3 strategies to meet safety requirements.</t>
  </si>
  <si>
    <t>design specifications of the building and how these affect its operation; energy efficiency features; water-saving features; correct operation of HVAC and lighting systems; access, security and safety systems; evacuation/disaster response plan; methods for reporting problems; information on parking, public transportation, car sharing schemes, etc.; waste recycling procedures</t>
  </si>
  <si>
    <t>The space must have at least one full-time employee working for a year or one resident.</t>
  </si>
  <si>
    <t>Number of stars under VNEEP labelling</t>
  </si>
  <si>
    <t>Introduction on LOTUS Small Interiors (LOTUS SI)</t>
  </si>
  <si>
    <t>1. LOTUS SI Scope</t>
  </si>
  <si>
    <t>LOTUS SI can be used for single use or mixed-use fit-out project including the following:
LOTUS Interiors can be used for the following project types:</t>
  </si>
  <si>
    <t>2. LOTUS SI Eligibility</t>
  </si>
  <si>
    <t>3. LOTUS SI Categories</t>
  </si>
  <si>
    <t>LOTUS SI is composed of 7 categories, each containing a varying number of credits.</t>
  </si>
  <si>
    <t>These Eligibility Rules are listed in the 'LOTUS SI Eligibility' spreadsheet.</t>
  </si>
  <si>
    <t>4. LOTUS SI Credits</t>
  </si>
  <si>
    <t>LOTUS Small Interiors Eligibility Rules</t>
  </si>
  <si>
    <t>LOTUS Small Interiors Certification</t>
  </si>
  <si>
    <t>E-4 Energy Monitor</t>
  </si>
  <si>
    <t>Install an energy monitor to record electricity consumption</t>
  </si>
  <si>
    <t>An energy monitor is an electronic device that provides feedback on electricity consumption.</t>
  </si>
  <si>
    <t>A permanent energy monitor should be installed and should:</t>
  </si>
  <si>
    <t xml:space="preserve">• Provide real-time feedback on energy consumption </t>
  </si>
  <si>
    <t>• Provide a function to analyse data at regular intervals (daily, weekly, monthly or yearly)</t>
  </si>
  <si>
    <t>Reply to the following questions:</t>
  </si>
  <si>
    <t>• Have a permanent energy monitor been installed ?</t>
  </si>
  <si>
    <t>• Does it have an in-house visual display and/or have the ability to communicate the information to a PC ?</t>
  </si>
  <si>
    <t>• Does it provide real-time feedback on energy consumption ?</t>
  </si>
  <si>
    <t>• Does it provide a function to analyse data at regular intervals (daily, weekly, monthly or yearly) ?</t>
  </si>
  <si>
    <t>Compliant energy monitor?</t>
  </si>
  <si>
    <t>• Evidence showing that an energy monitor is installed such as photographs, invoices, etc.</t>
  </si>
  <si>
    <t xml:space="preserve">• </t>
  </si>
  <si>
    <t>The LOTUS SI submission process happens in the following steps:</t>
  </si>
  <si>
    <r>
      <rPr>
        <sz val="11"/>
        <rFont val="Symbol"/>
        <family val="1"/>
        <charset val="2"/>
      </rPr>
      <t>®</t>
    </r>
    <r>
      <rPr>
        <sz val="11"/>
        <rFont val="Calibri"/>
        <family val="2"/>
      </rPr>
      <t xml:space="preserve"> </t>
    </r>
    <r>
      <rPr>
        <sz val="11"/>
        <rFont val="Calibri"/>
        <family val="2"/>
        <scheme val="minor"/>
      </rPr>
      <t>When clicking on these cells, additional information may be provided to help completing the cells</t>
    </r>
  </si>
  <si>
    <r>
      <rPr>
        <sz val="11"/>
        <rFont val="Symbol"/>
        <family val="1"/>
        <charset val="2"/>
      </rPr>
      <t>®</t>
    </r>
    <r>
      <rPr>
        <sz val="11"/>
        <rFont val="Calibri"/>
        <family val="2"/>
      </rPr>
      <t xml:space="preserve"> Users should refer to the LOTUS Small Buildings Technical Manual to find more details, information, definitions, etc. </t>
    </r>
  </si>
  <si>
    <t>• submit all the evidence required by LOTUS SI</t>
  </si>
  <si>
    <t>• Install flow aerators or flow restrictors to taps</t>
  </si>
  <si>
    <t>Reply to the questions below on the spaces for public transportation:</t>
  </si>
  <si>
    <t>Option A: Projects with provision of bathroom water fixtures</t>
  </si>
  <si>
    <t>Number of fans installed</t>
  </si>
  <si>
    <t>Complete the Table below with information on all the mounted fans installed in occupied rooms:</t>
  </si>
  <si>
    <t>Type of fans installed</t>
  </si>
  <si>
    <t xml:space="preserve">• The windward side of the building is determined based on the prevailing wind direction during the hottest period of the year. </t>
  </si>
  <si>
    <t>• The prevailing wind is the wind that blows the most frequently during this period. Information on the frequency of wind direction of the proposed site location can be found in table 2.16 of QCVN 02:2009/BXD - Vietnam Building Code Natural Physical &amp; Climatic Data for Construction or can come from meteorological data.</t>
  </si>
  <si>
    <t>• The windward side of the building should not necessarily be located perpendicularly to the prevailing wind direction, oblique angles are acceptable. It is also possible to use architectural features to steer the wind such as casement windows, wing walls, fences, or even strategically-planted vegetation.</t>
  </si>
  <si>
    <t>For 1 point, use variable speed controls on all the air-conditioning systems - AND / OR -
For 1 point, install a demand control ventilation system for spaces with special occupancies</t>
  </si>
  <si>
    <t>1 point for each of the following strategies implemented (up to 2 strategies): 
- Install enthalpy recovery systems on all air handling units
- Use a radiant cooling system
- Install mounted fans in 50% of occupied areas</t>
  </si>
  <si>
    <t>Provide separate HVAC control zones for each solar exposure and for areas with different usage/occupancy needs</t>
  </si>
  <si>
    <t>Select the compliance path pursued:</t>
  </si>
  <si>
    <t>Prescriptive Path for Strategy A</t>
  </si>
  <si>
    <t>Minimize the energy use for cooling by not installing air-conditioning systems.</t>
  </si>
  <si>
    <t>Occupied space</t>
  </si>
  <si>
    <r>
      <t>Fan density 
(# / 20m</t>
    </r>
    <r>
      <rPr>
        <vertAlign val="superscript"/>
        <sz val="10"/>
        <color indexed="9"/>
        <rFont val="Arial"/>
        <family val="2"/>
      </rPr>
      <t>2</t>
    </r>
    <r>
      <rPr>
        <sz val="10"/>
        <color indexed="9"/>
        <rFont val="Arial"/>
        <family val="2"/>
      </rPr>
      <t>)</t>
    </r>
  </si>
  <si>
    <t>Submit all the documentation listed below at Certification Stage:</t>
  </si>
  <si>
    <t>• Evidence showing the occupied spaces that are not served by any air-conditioning system such as photographs, plans, etc.</t>
  </si>
  <si>
    <t>Prescriptive Path for Strategy B</t>
  </si>
  <si>
    <t>Performance Path for Strategy B</t>
  </si>
  <si>
    <t>Type of air-conditioning system</t>
  </si>
  <si>
    <t>Performance Path for Strategy A</t>
  </si>
  <si>
    <t>Energy Best Practice Credits</t>
  </si>
  <si>
    <t>Best Practice Credits Requirements</t>
  </si>
  <si>
    <t>• Light dimmers to provide variable indoor lighting in spaces with multiple uses</t>
  </si>
  <si>
    <t>• Plug load controls to automatically turn receptacles off and on as needed</t>
  </si>
  <si>
    <t>• Other solutions may be applied but shall be subject to VGBC approval</t>
  </si>
  <si>
    <t>Complete the Table below with information on the energy control solutions installed:</t>
  </si>
  <si>
    <t>Energy control solution</t>
  </si>
  <si>
    <t>Installation locations</t>
  </si>
  <si>
    <t>Compliant energy control solutions?</t>
  </si>
  <si>
    <t>• Evidence showing that the energy control solutions are installed such as photographs, invoices, etc.</t>
  </si>
  <si>
    <t>Select a properly sized solar water heating system</t>
  </si>
  <si>
    <t>Solar water heating:</t>
  </si>
  <si>
    <t>• If yes, what is the capacity of the solar hot water system? (liters)</t>
  </si>
  <si>
    <t>Compliant solar hot water system?</t>
  </si>
  <si>
    <t>Heat pump water heating:</t>
  </si>
  <si>
    <t>Reply to the question and complete the table below:</t>
  </si>
  <si>
    <t>• Has a heat pump water heating system been installed to cover the hot water demand of the building?</t>
  </si>
  <si>
    <t>Energy efficiency of the Heat pump water heating system:</t>
  </si>
  <si>
    <t>Minimum COP</t>
  </si>
  <si>
    <t>Air-heated heat pumps</t>
  </si>
  <si>
    <t>Heat pump water heating system</t>
  </si>
  <si>
    <t>COP value of the system</t>
  </si>
  <si>
    <t>Water-heated heat pumps</t>
  </si>
  <si>
    <t>Heat recovery air conditioners</t>
  </si>
  <si>
    <t>Heat recovery AC - Hot water supply only</t>
  </si>
  <si>
    <t>Heat recovery AC - AC and hot water supply</t>
  </si>
  <si>
    <t>Compliant heat pump water heating system?</t>
  </si>
  <si>
    <t>Solar water heating: Submit all the documentation listed below at Certification Stage:</t>
  </si>
  <si>
    <t>• Evidence of the solar water heater installed such as photographs, invoices, receipts, etc.</t>
  </si>
  <si>
    <t>Heat pump water heating: Submit all the documentation listed below at Certification Stage:</t>
  </si>
  <si>
    <t>• Technical data of the heat pump water heating systems installed showing the COP values</t>
  </si>
  <si>
    <t>• Evidence of the heat pump water heating system installed such as photographs, invoices, receipts, etc.</t>
  </si>
  <si>
    <t xml:space="preserve">Such products should be natural products (baking soda, lemon, apple cider, etc.) or should be products certified by recognized green labelling scheme such as: </t>
  </si>
  <si>
    <t xml:space="preserve">• Have an energy recovery ventilation systems been installed on all the air handling units? </t>
  </si>
  <si>
    <t>E-1 Strategy B 
Performance Path</t>
  </si>
  <si>
    <t>E-1 Strategy B 
Prescriptive Path</t>
  </si>
  <si>
    <t>• Evidence of the air-conditioning units were installed such as photographs, invoices, etc.</t>
  </si>
  <si>
    <t>Rated Electric Power Input (kW)</t>
  </si>
  <si>
    <t>Cooling capacity
(kW)</t>
  </si>
  <si>
    <t>COP of the unit</t>
  </si>
  <si>
    <t>VGBC strongly encourages the applicants to submit for this stage in order to have a successful Certification.</t>
  </si>
  <si>
    <t>This is an optional stage to verify that the project is on right track (realistic targets, no mistakes, safety margin for certification, etc.).</t>
  </si>
  <si>
    <t>At Pre-assessment stage, the content of submissions is simplified to a minimum.</t>
  </si>
  <si>
    <t>The Applicant fills in the User Tool to define the pathway/targets for the project and to understand all requirements for Certification.</t>
  </si>
  <si>
    <t>Certification stage</t>
  </si>
  <si>
    <t xml:space="preserve">Applicants must fully complete the User Tool and make sure to provide all required documentation (as specified in the 'Submissions' sections of each credit) to the VGBC. </t>
  </si>
  <si>
    <t>The data supplied will be assessed by the Assessment Organization and results of the assessment will be provided to the Applicant Representative within 4 weeks of the submission date.</t>
  </si>
  <si>
    <t xml:space="preserve">In case that submission for any credit submitted for LOTUS Certification is denied, or if the Applicant would like the opportunity to score higher for that credit, a second round of submissions for re-assessment is available to projects. </t>
  </si>
  <si>
    <t>This round will give the possibility to provide further evidence to demonstrate to the Assessment Organization that pending Credits have finally been achieved. There is no limit to the number of credits that may be re-submitted, and the applicant is encouraged to re-submit all queried credits so long as they can provide new submittal information.</t>
  </si>
  <si>
    <t>The main material to LOTUS Small Interiors Submissions is the LOTUS Small Interiors User Tool. This tool is a template for the applicant to:</t>
  </si>
  <si>
    <t>• have a complete overview of LOTUS Small Interiors</t>
  </si>
  <si>
    <r>
      <rPr>
        <b/>
        <sz val="10"/>
        <rFont val="Arial"/>
        <family val="2"/>
      </rPr>
      <t>Performance Path</t>
    </r>
    <r>
      <rPr>
        <sz val="10"/>
        <rFont val="Arial"/>
        <family val="2"/>
      </rPr>
      <t xml:space="preserve">
For 1 point, reduce domestic water consumption through fixtures by 20% in comparison to a baseline model
1 point for every additional 5% reduction of the domestic water consumption through fixtures (up to 45%)</t>
    </r>
  </si>
  <si>
    <t>Replace or alter the base building water fixtures associated with the tenancy.</t>
  </si>
  <si>
    <t>Install water efficient appliances to reduce process water use</t>
  </si>
  <si>
    <t>Prescriptive Path for Strategy A1</t>
  </si>
  <si>
    <t>Performance Path for Strategy A1</t>
  </si>
  <si>
    <t>Select and install low-flow water fixtures in the building.</t>
  </si>
  <si>
    <t>To be considered as low-flow water fixtures, water fixtures must comply with the following requirements:</t>
  </si>
  <si>
    <t xml:space="preserve">• WCs: dual flush with flushrate lower than (or equal to) 3 / 4.5 litres per flush </t>
  </si>
  <si>
    <t>• Shower heads: flowrate lower than (or equal to) 0.14 litres per second</t>
  </si>
  <si>
    <t>• Bathroom and kitchen taps: flowrate lower than (or equal to) 0.12 litres per second</t>
  </si>
  <si>
    <t>Complete the Table below with information on the water fixtures installed in the building:</t>
  </si>
  <si>
    <t>Flush Rate
[Lpf]</t>
  </si>
  <si>
    <t>Maximum flowrate [Lps]</t>
  </si>
  <si>
    <t>Prescriptive Path Results</t>
  </si>
  <si>
    <t>• Low flow kitchen and bathroom taps installed?</t>
  </si>
  <si>
    <t>Install low flow kitchen and bathroom taps</t>
  </si>
  <si>
    <t>• Low flow shower heads installed?</t>
  </si>
  <si>
    <t>Install low flow shower heads</t>
  </si>
  <si>
    <r>
      <rPr>
        <b/>
        <sz val="10"/>
        <rFont val="Arial"/>
        <family val="2"/>
      </rPr>
      <t>Prescriptive Path</t>
    </r>
    <r>
      <rPr>
        <sz val="10"/>
        <rFont val="Arial"/>
        <family val="2"/>
      </rPr>
      <t xml:space="preserve">
For 2 points, install dual low-flush WCs and low-flush urinals
For 2 points, install low flow kitchen and bathroom taps
For 1 point, install low flow shower heads</t>
    </r>
  </si>
  <si>
    <t>• Has a solar hot water system been installed to cover the hot water demand of the project space?</t>
  </si>
  <si>
    <t xml:space="preserve">• Daylight sensors to adapt the use of artificial lighting depending on the amount of natural lighting in the daylit zone areas (c.f. credit H-5 Daylighting) </t>
  </si>
  <si>
    <t>E-BPC-1 Energy Controls</t>
  </si>
  <si>
    <t>E-BPC-2 Water Heating</t>
  </si>
  <si>
    <t>W-1 Water efficient fixtures A1 Prescriptive</t>
  </si>
  <si>
    <t xml:space="preserve">W-1 Water efficient fixtures A1 Performance/B1 </t>
  </si>
  <si>
    <t>For 1 point, domestic water consumption through base building water fixtures associated with the tenancy is reduced by 20% in comparison to a baseline model
1 point for every additional 10% reduction of the domestic water consumption through base building water fixtures (Up to 40%)</t>
  </si>
  <si>
    <r>
      <rPr>
        <sz val="12"/>
        <color indexed="9"/>
        <rFont val="Arial"/>
        <family val="2"/>
      </rPr>
      <t xml:space="preserve">Bathroom and Kitchen Taps
</t>
    </r>
    <r>
      <rPr>
        <sz val="10"/>
        <color indexed="9"/>
        <rFont val="Arial"/>
        <family val="2"/>
      </rPr>
      <t>Fixture Name</t>
    </r>
  </si>
  <si>
    <t>• Dual low-flush WCs and low-flush urinals installed?</t>
  </si>
  <si>
    <t>• Urinals with flush rates lower than (or equal to) 3 litres per flush</t>
  </si>
  <si>
    <t>Energy Monitor</t>
  </si>
  <si>
    <t>BPC</t>
  </si>
  <si>
    <t>Best practice credits</t>
  </si>
  <si>
    <t>• Access for people with disabilities: 
Base building and interiors project meet the QCVN 10:2014/BXD requirements</t>
  </si>
  <si>
    <t xml:space="preserve">AND Provide and display for occupants information on public transportation means including routes and schedules in an obvious and accessible location. </t>
  </si>
  <si>
    <t>Reply to the questions below on the information on public transportation:</t>
  </si>
  <si>
    <t>Compliant information on public transportation?</t>
  </si>
  <si>
    <t>5. Certification Levels</t>
  </si>
  <si>
    <t>6. Certification Process</t>
  </si>
  <si>
    <t>7. Submissions</t>
  </si>
  <si>
    <t>6. LOTUS SI Certification Process</t>
  </si>
  <si>
    <t>5. LOTUS Interiors Certification Levels</t>
  </si>
  <si>
    <r>
      <rPr>
        <b/>
        <sz val="11"/>
        <color rgb="FF984806"/>
        <rFont val="Calibri"/>
        <family val="2"/>
      </rPr>
      <t xml:space="preserve">→ </t>
    </r>
    <r>
      <rPr>
        <b/>
        <sz val="11"/>
        <color rgb="FF984806"/>
        <rFont val="Calibri"/>
        <family val="2"/>
        <scheme val="minor"/>
      </rPr>
      <t xml:space="preserve">No score or certification will be given at this stage of submissions. </t>
    </r>
  </si>
  <si>
    <t>Platinum Members</t>
  </si>
  <si>
    <t>Gold Members</t>
  </si>
  <si>
    <t>Silver Members</t>
  </si>
  <si>
    <r>
      <rPr>
        <b/>
        <sz val="10"/>
        <color rgb="FF984806"/>
        <rFont val="Arial"/>
        <family val="2"/>
      </rPr>
      <t>Drawings</t>
    </r>
    <r>
      <rPr>
        <sz val="10"/>
        <color rgb="FF58AB27"/>
        <rFont val="Arial"/>
        <family val="2"/>
      </rPr>
      <t xml:space="preserve"> </t>
    </r>
    <r>
      <rPr>
        <sz val="10"/>
        <color theme="1"/>
        <rFont val="Arial"/>
        <family val="2"/>
      </rPr>
      <t>- Two dimensional technical diagrams of a place or object.</t>
    </r>
  </si>
  <si>
    <r>
      <rPr>
        <b/>
        <sz val="10"/>
        <color rgb="FF984806"/>
        <rFont val="Arial"/>
        <family val="2"/>
      </rPr>
      <t>Elevation</t>
    </r>
    <r>
      <rPr>
        <sz val="10"/>
        <color theme="1"/>
        <rFont val="Arial"/>
        <family val="2"/>
      </rPr>
      <t xml:space="preserve"> - An elevation is a view of a building seen from one side, a 2D drawing of one facade of the building.</t>
    </r>
  </si>
  <si>
    <r>
      <rPr>
        <b/>
        <sz val="10"/>
        <color rgb="FF984806"/>
        <rFont val="Arial"/>
        <family val="2"/>
      </rPr>
      <t>Schematics</t>
    </r>
    <r>
      <rPr>
        <sz val="10"/>
        <rFont val="Arial"/>
        <family val="2"/>
      </rPr>
      <t xml:space="preserve"> - A diagram that represents the elements of a system using symbols.</t>
    </r>
  </si>
  <si>
    <t>Certification stage checklist</t>
  </si>
  <si>
    <r>
      <rPr>
        <b/>
        <sz val="10"/>
        <rFont val="Arial"/>
        <family val="2"/>
      </rPr>
      <t>Option C: Strategies to limit the Atmospheric Impact of the refrigerants used in the project 
(only applicable for projects with commercial refrigeration systems)</t>
    </r>
    <r>
      <rPr>
        <sz val="10"/>
        <rFont val="Arial"/>
        <family val="2"/>
      </rPr>
      <t xml:space="preserve">
1 point granted for implementing 2 of the following strategies for air-conditioning, heat pump and commercial refrigeration systems:
1. No centralized direct expansion systems is used
2. All refrigerants used have a GWP</t>
    </r>
    <r>
      <rPr>
        <vertAlign val="subscript"/>
        <sz val="10"/>
        <rFont val="Arial"/>
        <family val="2"/>
      </rPr>
      <t>100</t>
    </r>
    <r>
      <rPr>
        <sz val="10"/>
        <rFont val="Arial"/>
        <family val="2"/>
      </rPr>
      <t xml:space="preserve"> below 2000 and ODP ≤ 0.02
3. 50% (by mass) of the total refrigerant charge of commercial refrigeration equipment are natural refrigerants or HFOs
4. An indirect (secondary) commercial refrigeration system is installed</t>
    </r>
  </si>
  <si>
    <t>7. LOTUS Small Interiors Submissions</t>
  </si>
  <si>
    <t>LOTUS Small Interiors sets 6 Eligibility Rules that all projects have to follow in order to pursue LOTUS SI Certification.</t>
  </si>
  <si>
    <t xml:space="preserve">To be eligible for LOTUS SI, projects must meet the following Eligibility Rules: </t>
  </si>
  <si>
    <t>6. Small Interiors</t>
  </si>
  <si>
    <t>Provide individual thermal comfort controls for the individual occupant spaces - AND - 
Provide group thermal comfort controls for shared multi-occupant spaces</t>
  </si>
  <si>
    <r>
      <t>- ceiling or wall fans are installed with at least one fan for every 20 m</t>
    </r>
    <r>
      <rPr>
        <vertAlign val="superscript"/>
        <sz val="10"/>
        <rFont val="Arial"/>
        <family val="2"/>
      </rPr>
      <t>2</t>
    </r>
  </si>
  <si>
    <t>- high-volume low-speed (HVLS) fans are installed</t>
  </si>
  <si>
    <t>95% of the occupied spaces shall comply with the following requirements:</t>
  </si>
  <si>
    <t>Compliant area</t>
  </si>
  <si>
    <t>Complete the table below with information on all air-conditioned spaces and mixed-mode ventilated spaces:</t>
  </si>
  <si>
    <t xml:space="preserve"> To avoid overheating under hot summer conditions, spaces shall comply with at least 1 strategy in each of the three following categories:</t>
  </si>
  <si>
    <t>E-BPC</t>
  </si>
  <si>
    <t>Health &amp; Comfort Best Practice Credits</t>
  </si>
  <si>
    <t>Illuminance is the total luminous flux incident on a surface, per unit area. It is a measure of how much the incident light illuminates the surface.</t>
  </si>
  <si>
    <t>Lighting purpose</t>
  </si>
  <si>
    <t>Minimum illuminance level (lux)</t>
  </si>
  <si>
    <t>1. Lighting for rooms and common areas used infrequently and / or performing simple observation tasks</t>
  </si>
  <si>
    <t>1.1 Minimum illuminance outside of pathway, outdoor shops, yard</t>
  </si>
  <si>
    <t>Application 1.1</t>
  </si>
  <si>
    <t>1.2 Outdoor pathway or yard</t>
  </si>
  <si>
    <t>Application 1.2</t>
  </si>
  <si>
    <t>1.3 Boiler house</t>
  </si>
  <si>
    <t>Application 1.3</t>
  </si>
  <si>
    <t>1.4 Transformer station, boiler area…</t>
  </si>
  <si>
    <t>Application 1.4</t>
  </si>
  <si>
    <t>1.5 Pathway inside industrial factories, shops, storage.</t>
  </si>
  <si>
    <t>Application 1.5</t>
  </si>
  <si>
    <t>2. Normal indoor lighting</t>
  </si>
  <si>
    <t>2.1 Minimum illuminance to perform work</t>
  </si>
  <si>
    <t>Application 2.1</t>
  </si>
  <si>
    <t>2.2 Average precision level work, general process in chemical industry and food processing, reading</t>
  </si>
  <si>
    <t>Application 2.2</t>
  </si>
  <si>
    <t>2.3 Checking work, drawing room, detailed part assembly, high precision of drawing work and color required</t>
  </si>
  <si>
    <t>Application 2.3</t>
  </si>
  <si>
    <t>2.4 High precision machinery operating work, electronic part assembly and small tools required high precision level, meter and check complicated parts (task light can be used)</t>
  </si>
  <si>
    <t>Application 2.4</t>
  </si>
  <si>
    <t>3. High precision level tasks</t>
  </si>
  <si>
    <t>3.0 Working with detailed, precision and particular e.g. small items or parts</t>
  </si>
  <si>
    <t>Application 3.0</t>
  </si>
  <si>
    <t>Complete the Table below for all the occupied spaces of the building:</t>
  </si>
  <si>
    <t>Lumens needed</t>
  </si>
  <si>
    <t>Lighting fixtures installed</t>
  </si>
  <si>
    <t>Total lumens from installed lights</t>
  </si>
  <si>
    <t>• Technical data of the lighting fixtures showing lumen output</t>
  </si>
  <si>
    <t>• Evidence showing that the lighting fixtures were installed such as photographs, electrical drawings, invoices, etc.</t>
  </si>
  <si>
    <t>• Noise levels measurements showing compliance with TCXDVN 175:2005</t>
  </si>
  <si>
    <t>Calculations can be made according to ISO 3382 Acoustics – Measurement of the reverberation time for rooms with reference to other acoustical parameters.</t>
  </si>
  <si>
    <r>
      <rPr>
        <b/>
        <sz val="10"/>
        <rFont val="Arial"/>
        <family val="2"/>
      </rPr>
      <t>Option A: Internal Noise Levels</t>
    </r>
    <r>
      <rPr>
        <sz val="10"/>
        <rFont val="Arial"/>
        <family val="2"/>
      </rPr>
      <t xml:space="preserve"> 
Spaces of the project comply with the requirements of TCXDVN 175:2005 -  Maximum Permitted Noise Levels for Public Buildings – Design Standard
</t>
    </r>
    <r>
      <rPr>
        <b/>
        <sz val="10"/>
        <rFont val="Arial"/>
        <family val="2"/>
      </rPr>
      <t xml:space="preserve">Option B: Reverberation Time </t>
    </r>
    <r>
      <rPr>
        <sz val="10"/>
        <rFont val="Arial"/>
        <family val="2"/>
      </rPr>
      <t xml:space="preserve">
Average reverberation time (T60) in the habitable spaces of the project should be lower than 0.6 seconds </t>
    </r>
  </si>
  <si>
    <t>95% of the occupied spaces meet recommended illuminance levels</t>
  </si>
  <si>
    <t>H-BPC</t>
  </si>
  <si>
    <t>H-3 Interior Plants</t>
  </si>
  <si>
    <t>H-4 Green Cleaning</t>
  </si>
  <si>
    <t>H-5 Daylighting</t>
  </si>
  <si>
    <t>H-6 External Views</t>
  </si>
  <si>
    <t>H-7 Thermal Comfort</t>
  </si>
  <si>
    <t>Compliant drinking water filtration system ?</t>
  </si>
  <si>
    <t xml:space="preserve">To be compliant with the credit, occupied areas without air-conditioning must either: </t>
  </si>
  <si>
    <t>Percentage of total occupied area compliant (%)</t>
  </si>
  <si>
    <r>
      <rPr>
        <b/>
        <sz val="10"/>
        <color rgb="FF984806"/>
        <rFont val="Arial"/>
        <family val="2"/>
      </rPr>
      <t>Coefficient of performance (COP)</t>
    </r>
    <r>
      <rPr>
        <sz val="10"/>
        <color rgb="FFFFAF00"/>
        <rFont val="Arial"/>
        <family val="2"/>
      </rPr>
      <t xml:space="preserve"> </t>
    </r>
    <r>
      <rPr>
        <sz val="10"/>
        <rFont val="Arial"/>
        <family val="2"/>
      </rPr>
      <t xml:space="preserve">- The ratio of the rate of heat removal to the rate of energy input in consistent units, for a complete cooling system or factory assembled equipment, as tested under a nationally recognised standard or designated operating conditions. </t>
    </r>
  </si>
  <si>
    <r>
      <rPr>
        <b/>
        <sz val="10"/>
        <color rgb="FF984806"/>
        <rFont val="Arial"/>
        <family val="2"/>
      </rPr>
      <t>Daylight factor (DF)</t>
    </r>
    <r>
      <rPr>
        <b/>
        <sz val="10"/>
        <color rgb="FFFFA500"/>
        <rFont val="Arial"/>
        <family val="2"/>
      </rPr>
      <t xml:space="preserve"> </t>
    </r>
    <r>
      <rPr>
        <sz val="10"/>
        <rFont val="Arial"/>
        <family val="2"/>
      </rPr>
      <t>- DF is the ratio of the light level inside a room to the light level outdoors. It is used to assess the internal natural lighting levels as perceived on working planes or surfaces.</t>
    </r>
  </si>
  <si>
    <r>
      <rPr>
        <b/>
        <sz val="10"/>
        <color rgb="FF984806"/>
        <rFont val="Arial"/>
        <family val="2"/>
      </rPr>
      <t>Global Warming Potential (GWP</t>
    </r>
    <r>
      <rPr>
        <b/>
        <vertAlign val="subscript"/>
        <sz val="10"/>
        <color rgb="FF984806"/>
        <rFont val="Arial"/>
        <family val="2"/>
      </rPr>
      <t>100</t>
    </r>
    <r>
      <rPr>
        <b/>
        <sz val="10"/>
        <color rgb="FF984806"/>
        <rFont val="Arial"/>
        <family val="2"/>
      </rPr>
      <t>)</t>
    </r>
    <r>
      <rPr>
        <sz val="10"/>
        <rFont val="Arial"/>
        <family val="2"/>
      </rPr>
      <t xml:space="preserve"> - A value assigned to a refrigerant based on scientific measurements showing how much that refrigerant will contribute to global warming if released into the atmosphere. The reference datum is based on the effect of CO2 in the atmosphere, which is assigned a GWP of 1. GWP is usually measure over a 100-year period and the lower the GWP of a refrigerant is the better or less harmful the refrigerant is for the environment.</t>
    </r>
  </si>
  <si>
    <r>
      <rPr>
        <b/>
        <sz val="10"/>
        <color rgb="FF984806"/>
        <rFont val="Arial"/>
        <family val="2"/>
      </rPr>
      <t>Gross Floor Area (GFA)</t>
    </r>
    <r>
      <rPr>
        <sz val="10"/>
        <color rgb="FF984806"/>
        <rFont val="Arial"/>
        <family val="2"/>
      </rPr>
      <t xml:space="preserve"> </t>
    </r>
    <r>
      <rPr>
        <sz val="10"/>
        <rFont val="Arial"/>
        <family val="2"/>
      </rPr>
      <t>- The sum of the fully enclosed covered floor area and the unenclosed covered floor area of a building or a project space at all floor levels. Some commercial and public authorities use variants of this definition. Car parks are not to be included as GFA.</t>
    </r>
  </si>
  <si>
    <r>
      <rPr>
        <b/>
        <sz val="10"/>
        <color rgb="FF984806"/>
        <rFont val="Arial"/>
        <family val="2"/>
      </rPr>
      <t>HVAC (Heating, Ventilating and Air Conditioning)</t>
    </r>
    <r>
      <rPr>
        <sz val="10"/>
        <rFont val="Arial"/>
        <family val="2"/>
      </rPr>
      <t xml:space="preserve"> - The equipment, distribution network, and terminals that provides either collectively or individually the processes of heating, ventilating, or air conditioning to a building.</t>
    </r>
  </si>
  <si>
    <r>
      <rPr>
        <b/>
        <sz val="10"/>
        <color rgb="FF984806"/>
        <rFont val="Arial"/>
        <family val="2"/>
      </rPr>
      <t>Illuminance</t>
    </r>
    <r>
      <rPr>
        <sz val="10"/>
        <rFont val="Arial"/>
        <family val="2"/>
      </rPr>
      <t xml:space="preserve"> - The density of the luminous flux incident on a surface. It is measured in lux or lm/m2 and is equal to the luminous flux (lumen) divided by the area (m2) of the surface when the latter is uniformly illuminated.</t>
    </r>
  </si>
  <si>
    <r>
      <rPr>
        <b/>
        <sz val="10"/>
        <color rgb="FF984806"/>
        <rFont val="Arial"/>
        <family val="2"/>
      </rPr>
      <t>Interior fit-out</t>
    </r>
    <r>
      <rPr>
        <sz val="10"/>
        <color rgb="FF984806"/>
        <rFont val="Arial"/>
        <family val="2"/>
      </rPr>
      <t xml:space="preserve"> </t>
    </r>
    <r>
      <rPr>
        <sz val="10"/>
        <rFont val="Arial"/>
        <family val="2"/>
      </rPr>
      <t>- The installation of ceilings, floors, furnishings, and partitions of a building, as well as the installation of all required building services.</t>
    </r>
  </si>
  <si>
    <r>
      <rPr>
        <b/>
        <sz val="10"/>
        <color rgb="FF984806"/>
        <rFont val="Arial"/>
        <family val="2"/>
      </rPr>
      <t>Natural ventilation</t>
    </r>
    <r>
      <rPr>
        <sz val="10"/>
        <rFont val="Arial"/>
        <family val="2"/>
      </rPr>
      <t xml:space="preserve"> - Technologies or design features used to ventilate buildings without power consumption. Natural ventilation, unlike fan-forced ventilation, uses the natural forces of wind and buoyancy to deliver fresh air into buildings.</t>
    </r>
  </si>
  <si>
    <r>
      <rPr>
        <b/>
        <sz val="10"/>
        <color rgb="FF984806"/>
        <rFont val="Arial"/>
        <family val="2"/>
      </rPr>
      <t>Net Occupied Area (NOA)</t>
    </r>
    <r>
      <rPr>
        <b/>
        <sz val="10"/>
        <color rgb="FF943634"/>
        <rFont val="Arial"/>
        <family val="2"/>
      </rPr>
      <t xml:space="preserve"> </t>
    </r>
    <r>
      <rPr>
        <sz val="10"/>
        <rFont val="Arial"/>
        <family val="2"/>
      </rPr>
      <t>- The sum of the areas of all the occupied spaces of the project.</t>
    </r>
  </si>
  <si>
    <r>
      <rPr>
        <b/>
        <sz val="10"/>
        <color rgb="FF984806"/>
        <rFont val="Arial"/>
        <family val="2"/>
      </rPr>
      <t>Occupied spaces</t>
    </r>
    <r>
      <rPr>
        <sz val="10"/>
        <rFont val="Arial"/>
        <family val="2"/>
      </rPr>
      <t xml:space="preserve"> - Enclosed spaces that can accommodate human activities. They include work spaces (offices, meeting rooms, laboratories, etc.), event spaces (halls, sales areas, libraries, gyms, etc.), common areas (receptions, waiting rooms, lounges, lobbies, etc.), and learning spaces (classrooms). They exclude corridors, staircases, storage areas, toilets, changing facilities, IT equipment rooms and mechanical rooms.</t>
    </r>
  </si>
  <si>
    <r>
      <rPr>
        <b/>
        <sz val="10"/>
        <color rgb="FF984806"/>
        <rFont val="Arial"/>
        <family val="2"/>
      </rPr>
      <t>Ozone depletion potential (ODP)</t>
    </r>
    <r>
      <rPr>
        <b/>
        <sz val="10"/>
        <color rgb="FFFFAF00"/>
        <rFont val="Arial"/>
        <family val="2"/>
      </rPr>
      <t xml:space="preserve"> </t>
    </r>
    <r>
      <rPr>
        <sz val="10"/>
        <rFont val="Arial"/>
        <family val="2"/>
      </rPr>
      <t>- A value assigned to a refrigerant based on scientific measurements that show how destructive a refrigerant is to the ozone layer if released into the atmosphere. The reference datum is based on the effect of refrigerant R11, which is assigned an ODP of 1. The lower the value of ODP the better or less harmful the refrigerant is for the ozone layer and therefore the environment.</t>
    </r>
  </si>
  <si>
    <r>
      <rPr>
        <b/>
        <sz val="10"/>
        <color rgb="FF984806"/>
        <rFont val="Arial"/>
        <family val="2"/>
      </rPr>
      <t>Rapidly renewable materials</t>
    </r>
    <r>
      <rPr>
        <sz val="10"/>
        <rFont val="Arial"/>
        <family val="2"/>
      </rPr>
      <t xml:space="preserve"> - A rapidly renewable material is a source that can regenerate what has once been harvested within 10 years or less.</t>
    </r>
  </si>
  <si>
    <r>
      <rPr>
        <b/>
        <sz val="10"/>
        <color rgb="FF984806"/>
        <rFont val="Arial"/>
        <family val="2"/>
      </rPr>
      <t>Reflectance</t>
    </r>
    <r>
      <rPr>
        <sz val="10"/>
        <rFont val="Arial"/>
        <family val="2"/>
      </rPr>
      <t xml:space="preserve"> - The ratio of light reflected by a surface to the light incident upon it.</t>
    </r>
  </si>
  <si>
    <r>
      <rPr>
        <b/>
        <sz val="10"/>
        <color rgb="FF984806"/>
        <rFont val="Arial"/>
        <family val="2"/>
      </rPr>
      <t>Refrigerant</t>
    </r>
    <r>
      <rPr>
        <sz val="10"/>
        <rFont val="Arial"/>
        <family val="2"/>
      </rPr>
      <t xml:space="preserve"> - A refrigerant is a compound used in a heat cycle that reversibly undergoes a phase change from a gas to a liquid in a process of converting thermal energy to mechanical output.</t>
    </r>
  </si>
  <si>
    <r>
      <rPr>
        <b/>
        <sz val="10"/>
        <color rgb="FF984806"/>
        <rFont val="Arial"/>
        <family val="2"/>
      </rPr>
      <t>Renewable energy</t>
    </r>
    <r>
      <rPr>
        <sz val="10"/>
        <rFont val="Arial"/>
        <family val="2"/>
      </rPr>
      <t xml:space="preserve"> - Energy generated from sources (sunlight, wind, rain, tides, and geothermal heat) that are replenished naturally and continually.</t>
    </r>
  </si>
  <si>
    <r>
      <rPr>
        <b/>
        <sz val="10"/>
        <color rgb="FF984806"/>
        <rFont val="Arial"/>
        <family val="2"/>
      </rPr>
      <t>Ventilation</t>
    </r>
    <r>
      <rPr>
        <b/>
        <sz val="10"/>
        <color rgb="FF943634"/>
        <rFont val="Arial"/>
        <family val="2"/>
      </rPr>
      <t xml:space="preserve"> - </t>
    </r>
    <r>
      <rPr>
        <sz val="10"/>
        <rFont val="Arial"/>
        <family val="2"/>
      </rPr>
      <t>The process of supplying fresh air and removing vitiated air by natural or mechanical means to and from a space. Such air may or may not have been conditioned.</t>
    </r>
  </si>
  <si>
    <r>
      <rPr>
        <b/>
        <sz val="10"/>
        <color rgb="FF984806"/>
        <rFont val="Arial"/>
        <family val="2"/>
      </rPr>
      <t>Volatile Organic Compound (VOC)</t>
    </r>
    <r>
      <rPr>
        <sz val="10"/>
        <color rgb="FF984806"/>
        <rFont val="Arial"/>
        <family val="2"/>
      </rPr>
      <t xml:space="preserve"> </t>
    </r>
    <r>
      <rPr>
        <sz val="10"/>
        <rFont val="Arial"/>
        <family val="2"/>
      </rPr>
      <t>- An organic chemical compound that enters gaseous phase under normal room conditions due to its high vapour pressures. Some VOCs have negative effects on human health when concentrated in poorly ventilated indoor spaces.</t>
    </r>
  </si>
  <si>
    <r>
      <rPr>
        <b/>
        <sz val="10"/>
        <color rgb="FF984806"/>
        <rFont val="Arial"/>
        <family val="2"/>
      </rPr>
      <t>Water efficient fixture</t>
    </r>
    <r>
      <rPr>
        <sz val="10"/>
        <rFont val="Arial"/>
        <family val="2"/>
      </rPr>
      <t xml:space="preserve"> - Water-based fixture that requires less amount of water to complete a designed task than most average fixtures</t>
    </r>
  </si>
  <si>
    <r>
      <rPr>
        <b/>
        <sz val="10"/>
        <color rgb="FF984806"/>
        <rFont val="Arial"/>
        <family val="2"/>
      </rPr>
      <t>Applicant</t>
    </r>
    <r>
      <rPr>
        <sz val="10"/>
        <rFont val="Arial"/>
        <family val="2"/>
      </rPr>
      <t xml:space="preserve"> - The person/organization applying for LOTUS Certification of a project.</t>
    </r>
  </si>
  <si>
    <t>Management Best Practice Credits</t>
  </si>
  <si>
    <r>
      <t xml:space="preserve">The first step to gain LOTUS Certification is to apply and register the project with the </t>
    </r>
    <r>
      <rPr>
        <b/>
        <sz val="11"/>
        <color rgb="FF984806"/>
        <rFont val="Calibri"/>
        <family val="2"/>
        <scheme val="minor"/>
      </rPr>
      <t>Assessment Organization</t>
    </r>
    <r>
      <rPr>
        <sz val="11"/>
        <color rgb="FF984806"/>
        <rFont val="Calibri"/>
        <family val="2"/>
        <scheme val="minor"/>
      </rPr>
      <t>.</t>
    </r>
    <r>
      <rPr>
        <sz val="11"/>
        <color theme="1"/>
        <rFont val="Calibri"/>
        <family val="2"/>
        <scheme val="minor"/>
      </rPr>
      <t xml:space="preserve"> This should be done at the earliest stage possible as the implementation of “green” strategies is most effective when they are considered early in the planning and design stage.</t>
    </r>
  </si>
  <si>
    <r>
      <rPr>
        <b/>
        <sz val="11"/>
        <color rgb="FF984806"/>
        <rFont val="Calibri"/>
        <family val="2"/>
        <scheme val="minor"/>
      </rPr>
      <t>Applicants</t>
    </r>
    <r>
      <rPr>
        <sz val="11"/>
        <color theme="1"/>
        <rFont val="Calibri"/>
        <family val="2"/>
        <scheme val="minor"/>
      </rPr>
      <t xml:space="preserve"> must complete the </t>
    </r>
    <r>
      <rPr>
        <b/>
        <sz val="11"/>
        <color rgb="FF984806"/>
        <rFont val="Calibri"/>
        <family val="2"/>
        <scheme val="minor"/>
      </rPr>
      <t>Application Form</t>
    </r>
    <r>
      <rPr>
        <sz val="11"/>
        <color theme="1"/>
        <rFont val="Calibri"/>
        <family val="2"/>
        <scheme val="minor"/>
      </rPr>
      <t xml:space="preserve"> (included in this User Tool), print it, sign it and submit it to the VGBC. 
On receipt of the Application Form, the Assessment Organization will check that it is complete and all supporting information has been provided. </t>
    </r>
  </si>
  <si>
    <r>
      <t xml:space="preserve">Once the application form has been confirmed as complete, a </t>
    </r>
    <r>
      <rPr>
        <b/>
        <sz val="11"/>
        <color rgb="FF984806"/>
        <rFont val="Calibri"/>
        <family val="2"/>
        <scheme val="minor"/>
      </rPr>
      <t>Certification Agreement</t>
    </r>
    <r>
      <rPr>
        <sz val="11"/>
        <color theme="1"/>
        <rFont val="Calibri"/>
        <family val="2"/>
        <scheme val="minor"/>
      </rPr>
      <t xml:space="preserve"> with all necessary terms and conditions will be signed by both the Applicant and the Assessment Organization. At this point, the Applicant is to nominate an </t>
    </r>
    <r>
      <rPr>
        <b/>
        <sz val="11"/>
        <color rgb="FF984806"/>
        <rFont val="Calibri"/>
        <family val="2"/>
        <scheme val="minor"/>
      </rPr>
      <t>Applicant Representative</t>
    </r>
    <r>
      <rPr>
        <sz val="11"/>
        <color rgb="FF76923C"/>
        <rFont val="Calibri"/>
        <family val="2"/>
        <scheme val="minor"/>
      </rPr>
      <t xml:space="preserve"> </t>
    </r>
    <r>
      <rPr>
        <sz val="11"/>
        <color theme="1"/>
        <rFont val="Calibri"/>
        <family val="2"/>
        <scheme val="minor"/>
      </rPr>
      <t>for the duration of the project that will be the primary contact for the Assessment Organization.</t>
    </r>
  </si>
  <si>
    <r>
      <t>Occupied Area (m</t>
    </r>
    <r>
      <rPr>
        <vertAlign val="superscript"/>
        <sz val="11"/>
        <rFont val="Arial"/>
        <family val="2"/>
      </rPr>
      <t>2</t>
    </r>
    <r>
      <rPr>
        <sz val="11"/>
        <rFont val="Arial"/>
        <family val="2"/>
      </rPr>
      <t>)</t>
    </r>
  </si>
  <si>
    <r>
      <rPr>
        <b/>
        <sz val="10"/>
        <rFont val="Arial"/>
        <family val="2"/>
      </rPr>
      <t>Performance Path</t>
    </r>
    <r>
      <rPr>
        <sz val="10"/>
        <rFont val="Arial"/>
        <family val="2"/>
      </rPr>
      <t xml:space="preserve">
For 1 point, 25% of occupied areas are effectively naturally ventilated
1 point for every additional 25% of occupied areas that are naturally ventilated</t>
    </r>
  </si>
  <si>
    <t>Complete the following table for all the occupied spaces of the building:</t>
  </si>
  <si>
    <t>Space equipped with air-conditioning?</t>
  </si>
  <si>
    <r>
      <rPr>
        <sz val="10"/>
        <rFont val="Calibri"/>
        <family val="2"/>
      </rPr>
      <t>•</t>
    </r>
    <r>
      <rPr>
        <sz val="10"/>
        <rFont val="Arial"/>
        <family val="2"/>
      </rPr>
      <t xml:space="preserve"> be equipped with normal ceiling or wall-mounted fans with a minimum density of 1 per 20 m</t>
    </r>
    <r>
      <rPr>
        <vertAlign val="superscript"/>
        <sz val="10"/>
        <rFont val="Arial"/>
        <family val="2"/>
      </rPr>
      <t>2</t>
    </r>
  </si>
  <si>
    <t>Ventilation type</t>
  </si>
  <si>
    <t>Percentage of compliant occupied area without air-conditioning (%)</t>
  </si>
  <si>
    <t>E-1 Strategy A Prescriptive</t>
  </si>
  <si>
    <t>• For occupied spaces with cross ventilation, provide evidence required in Performance Path.</t>
  </si>
  <si>
    <t>Complete the information below on the green transportation incentives:</t>
  </si>
  <si>
    <t>Compliant green transportation incentives ?</t>
  </si>
  <si>
    <r>
      <rPr>
        <b/>
        <sz val="10"/>
        <rFont val="Arial"/>
        <family val="2"/>
      </rPr>
      <t>Man-BPC-3 Independent Commissioning Agent</t>
    </r>
    <r>
      <rPr>
        <sz val="10"/>
        <rFont val="Arial"/>
        <family val="2"/>
      </rPr>
      <t xml:space="preserve">
Hire a qualified and independent commissioning agent to supervise the commissioning activities</t>
    </r>
  </si>
  <si>
    <r>
      <rPr>
        <b/>
        <sz val="10"/>
        <rFont val="Arial"/>
        <family val="2"/>
      </rPr>
      <t>Man-BPC-1 LOTUS AP</t>
    </r>
    <r>
      <rPr>
        <sz val="10"/>
        <rFont val="Arial"/>
        <family val="2"/>
      </rPr>
      <t xml:space="preserve">
Involve a LOTUS AP as a green consultant of the project team</t>
    </r>
  </si>
  <si>
    <t>Man-BPC-1 LOTUS AP</t>
  </si>
  <si>
    <t>Man-BPC-2 On-going Commissioning</t>
  </si>
  <si>
    <r>
      <rPr>
        <sz val="10"/>
        <rFont val="Calibri"/>
        <family val="2"/>
      </rPr>
      <t>•</t>
    </r>
    <r>
      <rPr>
        <sz val="10"/>
        <rFont val="Arial"/>
        <family val="2"/>
      </rPr>
      <t xml:space="preserve"> All the following types of appliances and equipment should be considered in the credit:
Washing machines, Refrigerators and freezers, Dishwashers, Fans, Televisions, Computers (desktops and laptops), Displays (computer monitors), and Rice cookers</t>
    </r>
  </si>
  <si>
    <r>
      <rPr>
        <sz val="10"/>
        <rFont val="Calibri"/>
        <family val="2"/>
      </rPr>
      <t>•</t>
    </r>
    <r>
      <rPr>
        <sz val="10"/>
        <rFont val="Arial"/>
        <family val="2"/>
      </rPr>
      <t xml:space="preserve"> Projects may consider other types of appliances and equipment if they are energy efficient (as defined below).</t>
    </r>
  </si>
  <si>
    <t>Total Rated Power (W)</t>
  </si>
  <si>
    <t xml:space="preserve">Implement at least 2 incentives (subject to VGBC approval) to encourage occupants to use a green mode of transport. </t>
  </si>
  <si>
    <t>Incentives to encourage occupants to use a green mode of transport include (but are not limited to): 
covering public transport expenses for employees, organising a vehicle sharing program, providing daily private buses, providing electric vehicle charging stations, providing shuttle busses for events, covering taxi fares in exceptional circumstances, providing rides to occupants, providing electric vehicles for employee business use, etc.</t>
  </si>
  <si>
    <t>Strategy C: Green transportation incentives</t>
  </si>
  <si>
    <r>
      <rPr>
        <b/>
        <sz val="10"/>
        <rFont val="Arial"/>
        <family val="2"/>
      </rPr>
      <t>Strategy C: Green transportation incentives</t>
    </r>
    <r>
      <rPr>
        <sz val="10"/>
        <rFont val="Arial"/>
        <family val="2"/>
      </rPr>
      <t xml:space="preserve">
Implement at least 2 incentives to encourage occupants to use a green mode of transport </t>
    </r>
  </si>
  <si>
    <t>Man-4 Green Awareness and Behaviour</t>
  </si>
  <si>
    <t>Man-BPC</t>
  </si>
  <si>
    <t>Man-1 Construction Stage</t>
  </si>
  <si>
    <t>Man-2 Commissioning</t>
  </si>
  <si>
    <t>Perform commissioning of the systems installed by the project</t>
  </si>
  <si>
    <t>Man-BPC-3 Independent Commissioning Agent</t>
  </si>
  <si>
    <t>Man-3 Maintenance</t>
  </si>
  <si>
    <t>This best practice credit can only be pursed if credit Man-2 Commissioning has been achieved.</t>
  </si>
  <si>
    <t>Man-BPC-1</t>
  </si>
  <si>
    <t>Man-BPC-3</t>
  </si>
  <si>
    <t>Man-BPC-2</t>
  </si>
  <si>
    <t>Man-1 Stategy A</t>
  </si>
  <si>
    <t>Man-1 Stategy B</t>
  </si>
  <si>
    <t>Man-1 Stategy D</t>
  </si>
  <si>
    <t>Man-1 Stategy C</t>
  </si>
  <si>
    <t>Man-4 Strategy C</t>
  </si>
  <si>
    <t>Complete the information below on the commissioning agent and the commissioning process:</t>
  </si>
  <si>
    <t>E-1 Strategy A
Performance</t>
  </si>
  <si>
    <t xml:space="preserve">   </t>
  </si>
  <si>
    <t xml:space="preserve">    </t>
  </si>
  <si>
    <t xml:space="preserve">            </t>
  </si>
  <si>
    <t>75 points are available in LOTUS Interiors (including 15 bonus points coming from the best practice credits and Innovation).</t>
  </si>
  <si>
    <t>Based on 60 points available, certification levels are as shown in the figure below:</t>
  </si>
  <si>
    <r>
      <rPr>
        <b/>
        <sz val="10"/>
        <color rgb="FF984806"/>
        <rFont val="Arial"/>
        <family val="2"/>
      </rPr>
      <t>Application Form</t>
    </r>
    <r>
      <rPr>
        <b/>
        <sz val="10"/>
        <color rgb="FF943634"/>
        <rFont val="Arial"/>
        <family val="2"/>
      </rPr>
      <t xml:space="preserve"> - </t>
    </r>
    <r>
      <rPr>
        <sz val="10"/>
        <rFont val="Arial"/>
        <family val="2"/>
      </rPr>
      <t>The Application Form is the first step in registering a project with the VGBC. Once completed, the VGBC will check to see that all relevant information is present and correct, register the project and request the payment of a Registration/Certification Fee and the signing of the Provisional Certification Agreement.</t>
    </r>
  </si>
  <si>
    <r>
      <rPr>
        <b/>
        <sz val="10"/>
        <color rgb="FF984806"/>
        <rFont val="Arial"/>
        <family val="2"/>
      </rPr>
      <t>Base building</t>
    </r>
    <r>
      <rPr>
        <sz val="10"/>
        <rFont val="Arial"/>
        <family val="2"/>
      </rPr>
      <t xml:space="preserve"> - The building which houses the interior project space. </t>
    </r>
  </si>
  <si>
    <r>
      <rPr>
        <b/>
        <sz val="10"/>
        <color rgb="FF984806"/>
        <rFont val="Arial"/>
        <family val="2"/>
      </rPr>
      <t>Category</t>
    </r>
    <r>
      <rPr>
        <sz val="10"/>
        <color rgb="FF984806"/>
        <rFont val="Arial"/>
        <family val="2"/>
      </rPr>
      <t xml:space="preserve"> </t>
    </r>
    <r>
      <rPr>
        <sz val="10"/>
        <rFont val="Arial"/>
        <family val="2"/>
      </rPr>
      <t>- A Category is a grouping of Credits that have a similar area of focus and perceived environmental impact.</t>
    </r>
  </si>
  <si>
    <r>
      <rPr>
        <b/>
        <sz val="10"/>
        <color rgb="FF984806"/>
        <rFont val="Arial"/>
        <family val="2"/>
      </rPr>
      <t>Assessment Fee</t>
    </r>
    <r>
      <rPr>
        <sz val="10"/>
        <rFont val="Arial"/>
        <family val="2"/>
      </rPr>
      <t xml:space="preserve"> - The Assessment Fee is a one off charge for the total administration process of LOTUS Certification and is bound by the Certification Agreement.</t>
    </r>
  </si>
  <si>
    <r>
      <rPr>
        <b/>
        <sz val="10"/>
        <color rgb="FF984806"/>
        <rFont val="Arial"/>
        <family val="2"/>
      </rPr>
      <t>Assessment Organization</t>
    </r>
    <r>
      <rPr>
        <sz val="10"/>
        <rFont val="Arial"/>
        <family val="2"/>
      </rPr>
      <t xml:space="preserve"> – The organization that performs the assessment of the projects applying for LOTUS Certification.</t>
    </r>
  </si>
  <si>
    <r>
      <rPr>
        <b/>
        <sz val="10"/>
        <color rgb="FF984806"/>
        <rFont val="Arial"/>
        <family val="2"/>
      </rPr>
      <t>Assessment Organization Representative</t>
    </r>
    <r>
      <rPr>
        <sz val="10"/>
        <rFont val="Arial"/>
        <family val="2"/>
      </rPr>
      <t xml:space="preserve"> - The Assessment Organization Representative is nominated within the Registration Process and will be the Assessment Organization primary representative that liaises with the Applicant Representative throughout the duration of the project.</t>
    </r>
  </si>
  <si>
    <r>
      <rPr>
        <b/>
        <sz val="10"/>
        <color rgb="FF984806"/>
        <rFont val="Arial"/>
        <family val="2"/>
      </rPr>
      <t>Credit</t>
    </r>
    <r>
      <rPr>
        <sz val="10"/>
        <rFont val="Arial"/>
        <family val="2"/>
      </rPr>
      <t xml:space="preserve"> - Each Credit has a specific intent that, if followed and achieved, allows the user to gain points within a LOTUS Rating System. </t>
    </r>
  </si>
  <si>
    <r>
      <rPr>
        <b/>
        <sz val="10"/>
        <color rgb="FF984806"/>
        <rFont val="Arial"/>
        <family val="2"/>
      </rPr>
      <t>LOTUS Accredited Professional</t>
    </r>
    <r>
      <rPr>
        <sz val="10"/>
        <rFont val="Arial"/>
        <family val="2"/>
      </rPr>
      <t xml:space="preserve"> - The LOTUS Accredited Professional or LOTUS AP has undergone training and successfully passed the LOTUS Rating System examination. Upon Accreditation, the LOTUS AP is then deemed qualified to work either as an internal or external resource within a LOTUS project.</t>
    </r>
  </si>
  <si>
    <r>
      <rPr>
        <b/>
        <sz val="10"/>
        <color rgb="FF984806"/>
        <rFont val="Arial"/>
        <family val="2"/>
      </rPr>
      <t>LOTUS Certified Rating</t>
    </r>
    <r>
      <rPr>
        <sz val="10"/>
        <rFont val="Arial"/>
        <family val="2"/>
      </rPr>
      <t xml:space="preserve"> - The LOTUS Certified Rating is the result obtained after Submission has been assessed at Certification stage by the VGBC Representative. A project can achieved 4 levels of certification, LOTUS Certified, LOTUS Silver, LOTUS Gold or LOTUS Platinum.</t>
    </r>
  </si>
  <si>
    <r>
      <rPr>
        <b/>
        <sz val="10"/>
        <color rgb="FF984806"/>
        <rFont val="Arial"/>
        <family val="2"/>
      </rPr>
      <t>LOTUS Technical Manual</t>
    </r>
    <r>
      <rPr>
        <sz val="10"/>
        <color rgb="FF984806"/>
        <rFont val="Arial"/>
        <family val="2"/>
      </rPr>
      <t xml:space="preserve"> </t>
    </r>
    <r>
      <rPr>
        <sz val="10"/>
        <rFont val="Arial"/>
        <family val="2"/>
      </rPr>
      <t>- The LOTUS Technical Manual is a user’s guide to attaining the LOTUS Certificate. It provides technical guidance for all LOTUS Credits in order for users to understand intents, requirements, approaches and implementations, calculations and submissions.</t>
    </r>
  </si>
  <si>
    <r>
      <rPr>
        <b/>
        <sz val="10"/>
        <color rgb="FF984806"/>
        <rFont val="Arial"/>
        <family val="2"/>
      </rPr>
      <t>Submission Section</t>
    </r>
    <r>
      <rPr>
        <sz val="10"/>
        <rFont val="Arial"/>
        <family val="2"/>
      </rPr>
      <t xml:space="preserve"> - The Submission Section details all requirements that will be assessed for LOTUS Certification.</t>
    </r>
  </si>
  <si>
    <t>Occupied spaces of the building comply with the requirements of TCXDVN 175:2005 - Maximum Permitted Noise Levels for Public Buildings – Design Standard</t>
  </si>
  <si>
    <t>H-2 Strategy A and B</t>
  </si>
  <si>
    <t>H-2 Strategy C</t>
  </si>
  <si>
    <t>H-2 Strategy D</t>
  </si>
  <si>
    <t>H-7
AC</t>
  </si>
  <si>
    <t>H-7 
Non-AC</t>
  </si>
  <si>
    <t>E-BPC-1</t>
  </si>
  <si>
    <t>E-BPC-2</t>
  </si>
  <si>
    <t xml:space="preserve">Note: This sheet provides further advice for project undergoing LOTUS Small Interiors Certification. </t>
  </si>
  <si>
    <t>Recommendations for LOTUS SI Certification</t>
  </si>
  <si>
    <t>Performance and prescriptive paths</t>
  </si>
  <si>
    <t xml:space="preserve">Some credits in LOTUS Small Interiors can be achieved with either a Prescriptive path or a Performance path. The Prescriptive path requires specific solutions and is a "black-and-white" approach. The Performance path, provides flexibility so that a design team may design a solution taking into account project requirements. A project may choose a Performance path for one credit and a Prescriptive path for another.  </t>
  </si>
  <si>
    <t>LOTUS Small Interiors include some best practice credits rewarding bonus points for achieving best practice in design and construction. Best practice credits often require extra calculations or sophisticated documentation. These credits may be aspirational and not easily achievable for most projects, so, projects that do not achieve these credits will not lose points and the overall certification level will not be affected.</t>
  </si>
  <si>
    <t>The certified levels above are shown based on 60 available points.</t>
  </si>
  <si>
    <t>Select if best practice credits should be considered in the below graphs</t>
  </si>
  <si>
    <t>1. Specific LOTUS Terms</t>
  </si>
  <si>
    <t>1. Specific LOTUS terms</t>
  </si>
  <si>
    <t>2. LOTUS Submission terms</t>
  </si>
  <si>
    <t>3. Technical terms</t>
  </si>
  <si>
    <t>• Have an in-house visual display located conveniently for occupants - OR - have the ability to communicate the information to a personal computer</t>
  </si>
  <si>
    <t xml:space="preserve">ISO 14021 defines recycled content as “the proportion, by mass, of recycled materials in a product or packing”. </t>
  </si>
  <si>
    <t>Definition of the different types of sustainable materials</t>
  </si>
  <si>
    <t>• Locally manufactured materials</t>
  </si>
  <si>
    <t>• Reused materials</t>
  </si>
  <si>
    <t>• Locally extracted, harvested and manufactured materials</t>
  </si>
  <si>
    <t>• Materials with recycled content</t>
  </si>
  <si>
    <t>• Materials with reused components</t>
  </si>
  <si>
    <t>Excluded is reutilization of materials such as rework, regrind or scrap generated in a process and capable of being reclaimed within the same process that generated it.</t>
  </si>
  <si>
    <r>
      <t xml:space="preserve">• A </t>
    </r>
    <r>
      <rPr>
        <b/>
        <sz val="10"/>
        <color rgb="FF5F4970"/>
        <rFont val="Arial"/>
        <family val="2"/>
      </rPr>
      <t>pre-consumer material</t>
    </r>
    <r>
      <rPr>
        <sz val="10"/>
        <color theme="1"/>
        <rFont val="Arial"/>
        <family val="2"/>
      </rPr>
      <t xml:space="preserve"> is a material diverted from waste stream during a manufacturing process. </t>
    </r>
  </si>
  <si>
    <r>
      <t xml:space="preserve">• A </t>
    </r>
    <r>
      <rPr>
        <b/>
        <sz val="10"/>
        <color rgb="FF5F4970"/>
        <rFont val="Arial"/>
        <family val="2"/>
      </rPr>
      <t>post-consumer material</t>
    </r>
    <r>
      <rPr>
        <sz val="10"/>
        <color theme="1"/>
        <rFont val="Arial"/>
        <family val="2"/>
      </rPr>
      <t xml:space="preserve"> is a material generated by households or by commercial, industrial and institutional facilities in their role as end-users of the product, which can no longer be used for its intended purpose. This includes returns of material from the distribution chain.  </t>
    </r>
  </si>
  <si>
    <t>Prescriptive Path Criteria</t>
  </si>
  <si>
    <t>Performance Path Criteria</t>
  </si>
  <si>
    <t>• Window and skylight arrangement</t>
  </si>
  <si>
    <t>Prescriptive Path</t>
  </si>
  <si>
    <t>Daylit zone area is defined as the sum of the sidelit daylit area and the skylit daylit area:</t>
  </si>
  <si>
    <r>
      <rPr>
        <b/>
        <sz val="10"/>
        <rFont val="Arial"/>
        <family val="2"/>
      </rPr>
      <t>• Sidelit daylit area</t>
    </r>
    <r>
      <rPr>
        <sz val="10"/>
        <rFont val="Arial"/>
        <family val="2"/>
      </rPr>
      <t xml:space="preserve"> is the area on a plan directly adjacent to each vertical glazing, two window head height deep into the area, and window width plus 0.5 times window head height wide on each side of the rough opening of the window, minus any area on a plan beyond a permanent obstruction that is 6 feet or taller as measured from the floor. Figure H.1 shows how to measure sidelit daylit area.</t>
    </r>
  </si>
  <si>
    <r>
      <rPr>
        <b/>
        <sz val="10"/>
        <rFont val="Arial"/>
        <family val="2"/>
      </rPr>
      <t>• Skylit daylit area</t>
    </r>
    <r>
      <rPr>
        <sz val="10"/>
        <rFont val="Arial"/>
        <family val="2"/>
      </rPr>
      <t xml:space="preserve">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
    </r>
  </si>
  <si>
    <t>The bottom of the skylight is measured from the bottom of the skylight well for skylights having wells, or the bottom of the skylight if no skylight well exists.</t>
  </si>
  <si>
    <t>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</si>
  <si>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r>
      <rPr>
        <i/>
        <sz val="10"/>
        <color rgb="FF943634"/>
        <rFont val="Arial"/>
        <family val="2"/>
      </rPr>
      <t>Figure H.1</t>
    </r>
    <r>
      <rPr>
        <i/>
        <sz val="10"/>
        <rFont val="Arial"/>
        <family val="2"/>
      </rPr>
      <t>: Measurement of the sidelit daylit area (top view)</t>
    </r>
  </si>
  <si>
    <r>
      <rPr>
        <i/>
        <sz val="10"/>
        <color rgb="FF943634"/>
        <rFont val="Arial"/>
        <family val="2"/>
      </rPr>
      <t>Figure H.2</t>
    </r>
    <r>
      <rPr>
        <i/>
        <sz val="10"/>
        <rFont val="Arial"/>
        <family val="2"/>
      </rPr>
      <t>: Measurement of the skylit daylit area with an obstruction height less than half the ceiling height</t>
    </r>
  </si>
  <si>
    <r>
      <rPr>
        <i/>
        <sz val="10"/>
        <color rgb="FF943634"/>
        <rFont val="Arial"/>
        <family val="2"/>
      </rPr>
      <t>Figure H.3</t>
    </r>
    <r>
      <rPr>
        <i/>
        <sz val="10"/>
        <rFont val="Arial"/>
        <family val="2"/>
      </rPr>
      <t>: Measurement of the skylit daylit area with an obstruction height more than half the ceiling height</t>
    </r>
  </si>
  <si>
    <t>If the sidelit daylit area and the skylit daylit area are overlapping, the overlapping area should be considered only once.</t>
  </si>
  <si>
    <t>Occupied space name</t>
  </si>
  <si>
    <r>
      <t>Sidelit daylit area (m</t>
    </r>
    <r>
      <rPr>
        <vertAlign val="superscript"/>
        <sz val="10"/>
        <color indexed="9"/>
        <rFont val="Arial"/>
        <family val="2"/>
      </rPr>
      <t>2</t>
    </r>
    <r>
      <rPr>
        <sz val="10"/>
        <color indexed="9"/>
        <rFont val="Arial"/>
        <family val="2"/>
      </rPr>
      <t>)</t>
    </r>
  </si>
  <si>
    <r>
      <t>Skylit daylit area (m</t>
    </r>
    <r>
      <rPr>
        <vertAlign val="superscript"/>
        <sz val="10"/>
        <color indexed="9"/>
        <rFont val="Arial"/>
        <family val="2"/>
      </rPr>
      <t>2</t>
    </r>
    <r>
      <rPr>
        <sz val="10"/>
        <color indexed="9"/>
        <rFont val="Arial"/>
        <family val="2"/>
      </rPr>
      <t>)</t>
    </r>
  </si>
  <si>
    <r>
      <t>Occupied area with daylighting (m</t>
    </r>
    <r>
      <rPr>
        <vertAlign val="superscript"/>
        <sz val="11"/>
        <color theme="0"/>
        <rFont val="Arial"/>
        <family val="2"/>
      </rPr>
      <t>2</t>
    </r>
    <r>
      <rPr>
        <sz val="11"/>
        <color theme="0"/>
        <rFont val="Arial"/>
        <family val="2"/>
      </rPr>
      <t>)</t>
    </r>
  </si>
  <si>
    <t>Compliant occupied area (%)</t>
  </si>
  <si>
    <t>• Plans and elevations outlining occupied spaces, daylit areas and indicating all glazing and its size</t>
  </si>
  <si>
    <t>Design occupied spaces with a daylit zone area of more than 75% of their floor area</t>
  </si>
  <si>
    <t>H-5 Prescriptive</t>
  </si>
  <si>
    <t>H-5 Performance</t>
  </si>
  <si>
    <t>Performance Path</t>
  </si>
  <si>
    <t>H-5 Daylighting (Performance Path)</t>
  </si>
  <si>
    <t>H-6 Strategy A</t>
  </si>
  <si>
    <t>H-6 Strategy B</t>
  </si>
  <si>
    <r>
      <t xml:space="preserve">• </t>
    </r>
    <r>
      <rPr>
        <u/>
        <sz val="10"/>
        <rFont val="Arial"/>
        <family val="2"/>
      </rPr>
      <t>Air-conditioned spaces and mixed-mode ventilated spaces:</t>
    </r>
  </si>
  <si>
    <r>
      <t xml:space="preserve">• </t>
    </r>
    <r>
      <rPr>
        <u/>
        <sz val="10"/>
        <rFont val="Arial"/>
        <family val="2"/>
      </rPr>
      <t>Non-air-conditioned spaces:</t>
    </r>
  </si>
  <si>
    <t>Conduct a post-occupancy survey to assess comfort and living conditions of the occupants of the interior space
- AND - 
If occupants’ overall satisfaction score is less than 3 out of 5, develop an action plan based on the responses</t>
  </si>
  <si>
    <t>Hire a qualified and independent commissioning agent to supervise the commissioning activities.</t>
  </si>
  <si>
    <r>
      <t xml:space="preserve">• </t>
    </r>
    <r>
      <rPr>
        <b/>
        <sz val="10"/>
        <color rgb="FF984806"/>
        <rFont val="Arial"/>
        <family val="2"/>
      </rPr>
      <t>Basis of Design (BOD)</t>
    </r>
    <r>
      <rPr>
        <b/>
        <sz val="10"/>
        <rFont val="Arial"/>
        <family val="2"/>
      </rPr>
      <t xml:space="preserve"> </t>
    </r>
    <r>
      <rPr>
        <sz val="10"/>
        <rFont val="Arial"/>
        <family val="2"/>
      </rPr>
      <t>is a document that records the concepts, calculations, decisions, and product selections used to meet the Owner’s Project Requirements and to satisfy applicable regulatory requirements, standards, and guidelines. The document includes both narrative descriptions and specific assumptions made by the designers.</t>
    </r>
  </si>
  <si>
    <r>
      <t>•</t>
    </r>
    <r>
      <rPr>
        <sz val="10"/>
        <color rgb="FF984806"/>
        <rFont val="Arial"/>
        <family val="2"/>
      </rPr>
      <t xml:space="preserve"> </t>
    </r>
    <r>
      <rPr>
        <b/>
        <sz val="10"/>
        <color rgb="FF984806"/>
        <rFont val="Arial"/>
        <family val="2"/>
      </rPr>
      <t>Owner’s Project Requirements (OPR)</t>
    </r>
    <r>
      <rPr>
        <sz val="10"/>
        <color rgb="FF984806"/>
        <rFont val="Arial"/>
        <family val="2"/>
      </rPr>
      <t xml:space="preserve"> </t>
    </r>
    <r>
      <rPr>
        <sz val="10"/>
        <rFont val="Arial"/>
        <family val="2"/>
      </rPr>
      <t xml:space="preserve">is a written document that details the functional requirements of a project and the expectations of how it will be used and operated. This includes project and design goals, measurable performance criteria, budgets, schedules, success criteria, owner’s directives, and supporting information. </t>
    </r>
  </si>
  <si>
    <t>To meet the requirements of this strategy,</t>
  </si>
  <si>
    <t>•  the commissioning agent must be independent of the project and of any consultant, contractor or sub-contractor that has been involved in the installation of the commissioned systems; and</t>
  </si>
  <si>
    <t>• owner's project requirements and basis of design must be produced and handed to the commissioning agent;</t>
  </si>
  <si>
    <t>• the commissioning agent must be a registered professional engineer or qualified technician with demonstrated knowledge on nominated systems commissioning, and has previous experience with the commissioning process of projects similar in scope.</t>
  </si>
  <si>
    <t>Arcadis Vietnam Co., Ltd</t>
  </si>
  <si>
    <t>New Era Block Tile JSC</t>
  </si>
  <si>
    <t>o   Installation of artificial lighting fixtures</t>
  </si>
  <si>
    <t>o   Installation of water fixtures or water appliances (water dispensers not considered)</t>
  </si>
  <si>
    <t>o   Installation of HVAC systems</t>
  </si>
  <si>
    <t>o   Installation of commercial refrigeration systems (walk-in refrigerators, walk-in freezers or refrigerated casework).</t>
  </si>
  <si>
    <t>o   Installation of partitions, floorings and/or ceilings</t>
  </si>
  <si>
    <t>• Celings and floorings</t>
  </si>
  <si>
    <t xml:space="preserve">Only materials installed by the interiors project should be considered. </t>
  </si>
  <si>
    <t xml:space="preserve">Only furniture products installed by the interiors project should be considered. </t>
  </si>
  <si>
    <t>In order to comply, 80% of the mass of the product must be sourced from manufacturing facilities that are certified to ISO 14001.</t>
  </si>
  <si>
    <t>• Products made of rapidly renewable materials</t>
  </si>
  <si>
    <t>• Locally manufactured products</t>
  </si>
  <si>
    <t>Total transportation distance should include all the travel distances and should be calculated with the following formula:</t>
  </si>
  <si>
    <r>
      <t>•</t>
    </r>
    <r>
      <rPr>
        <sz val="10"/>
        <color rgb="FF984806"/>
        <rFont val="Arial"/>
        <family val="2"/>
      </rPr>
      <t xml:space="preserve"> </t>
    </r>
    <r>
      <rPr>
        <b/>
        <sz val="10"/>
        <color rgb="FF984806"/>
        <rFont val="Arial"/>
        <family val="2"/>
      </rPr>
      <t>Commissioning</t>
    </r>
    <r>
      <rPr>
        <sz val="10"/>
        <rFont val="Arial"/>
        <family val="2"/>
      </rPr>
      <t xml:space="preserve"> is the process by which an equipment installed is tested to verify if it functions according to its design objectives or specifications.</t>
    </r>
  </si>
  <si>
    <r>
      <t xml:space="preserve">• </t>
    </r>
    <r>
      <rPr>
        <b/>
        <sz val="10"/>
        <color rgb="FF984806"/>
        <rFont val="Arial"/>
        <family val="2"/>
      </rPr>
      <t>Testing</t>
    </r>
    <r>
      <rPr>
        <sz val="10"/>
        <rFont val="Arial"/>
        <family val="2"/>
      </rPr>
      <t xml:space="preserve"> is the use of specialized and calibrated instruments to measure temperatures, pressures, rotational speeds, electrical characteristics, velocities, and air and water quantities for an evaluation of equipment and system performance.</t>
    </r>
  </si>
  <si>
    <r>
      <t xml:space="preserve">• </t>
    </r>
    <r>
      <rPr>
        <b/>
        <sz val="10"/>
        <color rgb="FF984806"/>
        <rFont val="Arial"/>
        <family val="2"/>
      </rPr>
      <t>Balancing</t>
    </r>
    <r>
      <rPr>
        <sz val="10"/>
        <rFont val="Arial"/>
        <family val="2"/>
      </rPr>
      <t xml:space="preserve"> is the methodical regulation of system fluid flows (air or water) through the use of acceptable procedures to achieve the desired or specified airflow or water flow.</t>
    </r>
  </si>
  <si>
    <r>
      <t xml:space="preserve">• </t>
    </r>
    <r>
      <rPr>
        <b/>
        <sz val="10"/>
        <color rgb="FF984806"/>
        <rFont val="Arial"/>
        <family val="2"/>
      </rPr>
      <t>Adjusting</t>
    </r>
    <r>
      <rPr>
        <sz val="10"/>
        <rFont val="Arial"/>
        <family val="2"/>
      </rPr>
      <t xml:space="preserve"> is the final setting of balancing devices such as dampers and valves, adjusting fan speeds and pump impeller sizes, in addition to automatic control devices such as thermostats and pressure controllers to achieve maximum specified system performance and efficiency during normal operation</t>
    </r>
  </si>
  <si>
    <r>
      <rPr>
        <b/>
        <sz val="10"/>
        <color rgb="FF984806"/>
        <rFont val="Arial"/>
        <family val="2"/>
      </rPr>
      <t>Project Identification Number (PIN)</t>
    </r>
    <r>
      <rPr>
        <sz val="10"/>
        <rFont val="Arial"/>
        <family val="2"/>
      </rPr>
      <t xml:space="preserve"> - The Project Identification Number (PIN) is a unique reference number issued at the Registration Confirmation. This reference number must be protected and is for the use of the Applicant Representative when providing submissions to the Assessment Organization.</t>
    </r>
  </si>
  <si>
    <r>
      <rPr>
        <b/>
        <sz val="10"/>
        <color rgb="FF984806"/>
        <rFont val="Arial"/>
        <family val="2"/>
      </rPr>
      <t>Certification Agreement</t>
    </r>
    <r>
      <rPr>
        <sz val="10"/>
        <rFont val="Arial"/>
        <family val="2"/>
      </rPr>
      <t xml:space="preserve"> - The Certification Agreement is the legally binding contract signed between the Applicant and the Assessment Organization upon registration.</t>
    </r>
  </si>
  <si>
    <r>
      <rPr>
        <b/>
        <sz val="10"/>
        <color rgb="FF984806"/>
        <rFont val="Arial"/>
        <family val="2"/>
      </rPr>
      <t>Submission</t>
    </r>
    <r>
      <rPr>
        <sz val="10"/>
        <rFont val="Arial"/>
        <family val="2"/>
      </rPr>
      <t xml:space="preserve"> - In each Credit, the Submission is the process where all documents are provided to the Assessment Organization Representative for assessment.</t>
    </r>
  </si>
  <si>
    <r>
      <rPr>
        <b/>
        <sz val="10"/>
        <color rgb="FF984806"/>
        <rFont val="Arial"/>
        <family val="2"/>
      </rPr>
      <t>Applicant Representative</t>
    </r>
    <r>
      <rPr>
        <sz val="10"/>
        <rFont val="Arial"/>
        <family val="2"/>
      </rPr>
      <t xml:space="preserve"> - The Applicant Representative is responsible for all elements of the certification and submission process within LOTUS Rating Systems. The Applicant Representative will directly liaise with the Assessment Organization Representative throughout all stages of LOTUS Certification.</t>
    </r>
  </si>
  <si>
    <t>Upload the zip file on a file hosting website (such as dropbox) and send the link to the Assessment Organization Representative by email -OR- include the file on a CD/flash drive and send by mail to the Assessment Organization.</t>
  </si>
  <si>
    <t>Assessment fee has been paid</t>
  </si>
  <si>
    <t>Certification Agreement has been signed</t>
  </si>
  <si>
    <t>Submit the completed User Tool to the Assessment Organization with:</t>
  </si>
  <si>
    <t>Please make sure the checklist below is completed before sending submissions to the Assessment Organization for Certification.</t>
  </si>
  <si>
    <t>Please make sure the checklist below is completed before sending submissions to the Assessment Organization for Pre-assessment stage.</t>
  </si>
  <si>
    <t>Please make sure to fully complete the Project information sheet before sending submissions to the Assessment Organization.
Don't forget to select the correct stage of submissions.</t>
  </si>
  <si>
    <t>Below are the provisional results of the project. These results are only indicative. 
Actual results will only be given after assessment of the submitted documentation and verification of the compliance of all the credits targeted.</t>
  </si>
  <si>
    <t>In LOTUS Small Interiors, documents drawn by hand such as drawings, plans, elevations, etc. will be accepted by the Assessment Organization if they are signed and legible.</t>
  </si>
  <si>
    <t>Resources Folder</t>
  </si>
  <si>
    <t>• Copy of the operation and maintenance manual (scans, photographs or electronic version)</t>
  </si>
  <si>
    <t xml:space="preserve">• Copy of the preventative maintenance plan (scans, photographs or electronic version) </t>
  </si>
  <si>
    <t>• Copy of the User guide (scans, photographs or electronic version)</t>
  </si>
  <si>
    <t>• Evidence showing that occupants of the interior space attended the Green Training such as photographs, signed attendance sheets, etc.</t>
  </si>
  <si>
    <t>LT-1 Option A</t>
  </si>
  <si>
    <t>LT-1 Option B</t>
  </si>
  <si>
    <t>• Copy of the certificate showing that the base building is certified under a recognised green building certification system</t>
  </si>
  <si>
    <t>• Evidence showing that the water filtration system was installed such as photographs, invoices, receipts, etc.</t>
  </si>
  <si>
    <t>Water fixtures installed in the base building and associated with the tenancy should be water efficient or, as highlighted in Strategy B2, water fixtures should be replaced/altered to reduce their water usage.</t>
  </si>
  <si>
    <t>If the project doesn't feature all the fixtures necessary to meet the needs of the occupants, include the water fixtures of the base building associated with the tenancy in the calculation.</t>
  </si>
  <si>
    <t>• Evidence that the water fixtures are installed such as photographs, receipts, inventory report from a facility audit, etc.</t>
  </si>
  <si>
    <t>• Manufacturer’s data for each water appliance installed showing the water usage of the appliance</t>
  </si>
  <si>
    <t>• Evidence that the water efficient appliances have been installed such as photographs, receipts, delivery order, etc.</t>
  </si>
  <si>
    <t>• Evidence that the water efficient fixtures have been installed such as photographs, receipts, delivery order, etc.</t>
  </si>
  <si>
    <t>• Evidence showing that the energy monitor can analyze data at regular intervals and can provide the data to a visual display or to a PC such as photographs, technical data, etc.</t>
  </si>
  <si>
    <t>• Technical data of the lighting fixtures showing wattage and lumen output</t>
  </si>
  <si>
    <t>• Evidence of the lighting fixtures installed such as photographs, invoices, receipts, etc.</t>
  </si>
  <si>
    <t>E-2 Strategy A
Performance</t>
  </si>
  <si>
    <t>E-2 Strategy A Prescriptive</t>
  </si>
  <si>
    <t>Lighting power associated with the use of artificial lighting systems can be reduced in the following ways:</t>
  </si>
  <si>
    <t>Light power density (LPD) is the ratio of the power required to provide artificial lighting to the gross floor area of lighted spaces</t>
  </si>
  <si>
    <t>Power used by lamps, ballasts, current regulators and control devices should be included.</t>
  </si>
  <si>
    <t>If the storage area is provided in the base building, it should be accessible to all tenants and sized based on the total gross floor area of the base building.</t>
  </si>
  <si>
    <t>Yes</t>
  </si>
  <si>
    <t>ENERGY STAR or performance equivalent and use either air-cooled or closed-loop cooling</t>
  </si>
  <si>
    <t>Strategy B: Efficiency of HVAC equipment</t>
  </si>
  <si>
    <t>Implement adequate mitigation measures to reduce indoor air quality (IAQ) impacts arising from fit-out activities</t>
  </si>
  <si>
    <t>• Commissioning records showing results of all the tests performed</t>
  </si>
  <si>
    <t>• Verify that the correct equipment and material has been installed in the proper location</t>
  </si>
  <si>
    <t>Description of the measures taken to surpass the initial credit requirement</t>
  </si>
  <si>
    <t xml:space="preserve">• Supporting evidence demonstrating that the construction, installation or implementation has been done according to the description provided. </t>
  </si>
  <si>
    <t>• If necessary, supporting evidence verifying the expected performance such as manufacturer’s data, calculations, etc.</t>
  </si>
  <si>
    <t>Innovative nature</t>
  </si>
  <si>
    <t>Environmental benefit</t>
  </si>
  <si>
    <t>For Innovation 1, Submit all the documentation listed below:</t>
  </si>
  <si>
    <t>For Innovation 4, Submit all the documentation listed below:</t>
  </si>
  <si>
    <t>For Innovation 3, Submit all the documentation listed below:</t>
  </si>
  <si>
    <t>For Innovation 2, Submit all the documentation listed below:</t>
  </si>
  <si>
    <t>Complete the information below on the measure to reduce IAQ impacts during fit-out activities:</t>
  </si>
  <si>
    <t>• Evidence showing each mitigation measure implemented to reduce IAQ impacts such as photographs, etc.</t>
  </si>
  <si>
    <r>
      <rPr>
        <b/>
        <sz val="10"/>
        <rFont val="Calibri"/>
        <family val="2"/>
      </rPr>
      <t>•</t>
    </r>
    <r>
      <rPr>
        <b/>
        <sz val="10"/>
        <rFont val="Arial"/>
        <family val="2"/>
      </rPr>
      <t xml:space="preserve"> Implementation of measures to reduce airborne noise (at least one measure should be implemented):</t>
    </r>
  </si>
  <si>
    <r>
      <rPr>
        <b/>
        <sz val="10"/>
        <rFont val="Calibri"/>
        <family val="2"/>
      </rPr>
      <t>•</t>
    </r>
    <r>
      <rPr>
        <b/>
        <sz val="10"/>
        <rFont val="Arial"/>
        <family val="2"/>
      </rPr>
      <t xml:space="preserve"> Implementation of measures to reduce structure-borne noise (at least one measure should be implemented):</t>
    </r>
  </si>
  <si>
    <r>
      <rPr>
        <b/>
        <sz val="10"/>
        <rFont val="Calibri"/>
        <family val="2"/>
      </rPr>
      <t>•</t>
    </r>
    <r>
      <rPr>
        <b/>
        <sz val="10"/>
        <rFont val="Arial"/>
        <family val="2"/>
      </rPr>
      <t xml:space="preserve"> Identify noise sensitive locations</t>
    </r>
  </si>
  <si>
    <r>
      <rPr>
        <b/>
        <sz val="10"/>
        <rFont val="Calibri"/>
        <family val="2"/>
      </rPr>
      <t>•</t>
    </r>
    <r>
      <rPr>
        <b/>
        <sz val="10"/>
        <rFont val="Arial"/>
        <family val="2"/>
      </rPr>
      <t xml:space="preserve"> Identify high impact construction practices</t>
    </r>
  </si>
  <si>
    <t>Implement at least one measure in 4 of the 5 following categories:</t>
  </si>
  <si>
    <t>• HVAC protection</t>
  </si>
  <si>
    <t>• Contaminant source control and pathway interruption</t>
  </si>
  <si>
    <t>• Housekeeping</t>
  </si>
  <si>
    <t>• Scheduling</t>
  </si>
  <si>
    <t xml:space="preserve">• Moisture and mold control </t>
  </si>
  <si>
    <t>No</t>
  </si>
  <si>
    <t>• Evidence showing that the base building complies with the requirements such as plans, photographs, letter of confirmation from base building, etc.</t>
  </si>
  <si>
    <t>• Copy (or extracts) of the lease agreement showing the elements specific to a Green lease - OR - copy of a signed agreement between the landlord and tenant following LOTUS requirements</t>
  </si>
  <si>
    <t>LT-BPC-1</t>
  </si>
  <si>
    <t>For facilities and amenities located in the project space:
• Floor plans showing the location of facilities and amenities</t>
  </si>
  <si>
    <t>For facilities and amenities located in the base building:
• Evidence showing that the facilities and amenities are accessible to all the occupants of the project space such as lease agreement, letter of conformation from the owner of the base building, etc.</t>
  </si>
  <si>
    <t>Prepare an on-going commissioning plan.</t>
  </si>
  <si>
    <r>
      <rPr>
        <b/>
        <sz val="10"/>
        <rFont val="Arial"/>
        <family val="2"/>
      </rPr>
      <t>Man-BPC-2 On-going Commissioning</t>
    </r>
    <r>
      <rPr>
        <sz val="10"/>
        <rFont val="Arial"/>
        <family val="2"/>
      </rPr>
      <t xml:space="preserve">
Prepare an on-going commissioning plan</t>
    </r>
  </si>
  <si>
    <t>• Signed letter of intent from the tenant that the on-going commissioning plan will be followed</t>
  </si>
  <si>
    <t>• Green Training program showing topics of the training, schedule, participants</t>
  </si>
  <si>
    <t xml:space="preserve">• Calculations demonstrating that the requirements of the recognized standard selected are met </t>
  </si>
  <si>
    <t>• Manufacturer’s published data showing that the cleaning products are environmentally friendly</t>
  </si>
  <si>
    <t>• Evidence showing that the cleaning products are used on the project such as invoices, receipts, purchase orders, etc.</t>
  </si>
  <si>
    <t>Daylight modelling software</t>
  </si>
  <si>
    <t>• If daylight factor daylight calculations have been made with a daylight modelling software, report indicating modelling software inputs and outputs</t>
  </si>
  <si>
    <t>• Floor plans showing all areas with direct lines of sight</t>
  </si>
  <si>
    <t xml:space="preserve">• Sections and elevations showing the height and location of external views and the height of internal partitions </t>
  </si>
  <si>
    <t>• Photographs showing the external views</t>
  </si>
  <si>
    <t>• Floor plans showing all areas with quality views</t>
  </si>
  <si>
    <t>For 1 point, 60% of the occupied spaces have a daylit zone area of more than 75% of their floor area
For 2 points, 80% of the occupied spaces have a daylit zone area of more than 75% of their floor area</t>
  </si>
  <si>
    <t>95% of the occupied spaces shall be designed to maximize the thermal comfort of occupants</t>
  </si>
  <si>
    <t>• Plans indicating the location and number of thermal controls</t>
  </si>
  <si>
    <t>• Evidence showing that the thermal controls have been installed such as photographs, commissioning records, etc.</t>
  </si>
  <si>
    <t xml:space="preserve">• Calculations showing compliance with the strategies pursued to limit heat gains and to enhance air velocity. </t>
  </si>
  <si>
    <t>• Narrative demonstrating that the strategies implemented effectively improve thermal comfort in the non-air-conditioned spaces. This can include a survey of the building occupants if the building has been occupied during one hot season.</t>
  </si>
  <si>
    <t>• All occupied spaces:</t>
  </si>
  <si>
    <t>Operation Waste Management</t>
  </si>
  <si>
    <t>Fit-out Waste</t>
  </si>
  <si>
    <t>• Evidence showing the amount of waste generated and the amount of waste diverted from landfill such as removal contracts and/or sales/trade documents covering all waste removal compiled</t>
  </si>
  <si>
    <t>• Copy of the environmentally friendly solid waste management system manual signed by the tenant</t>
  </si>
  <si>
    <t xml:space="preserve">Percentage of waste reused, salvaged and/or recycled (%) </t>
  </si>
  <si>
    <r>
      <t xml:space="preserve">Prescriptive Path
</t>
    </r>
    <r>
      <rPr>
        <sz val="10"/>
        <rFont val="Arial"/>
        <family val="2"/>
      </rPr>
      <t>For 1 point, 10% of the net occupied area is not served by an air-conditioning system
1 point for every additional 20% of net occupied area not served by an air-conditioning system (up to 70%)
For 6 points, 100% of the net occupied area is not served by an air-conditioning system</t>
    </r>
  </si>
  <si>
    <r>
      <rPr>
        <sz val="10"/>
        <rFont val="Calibri"/>
        <family val="2"/>
      </rPr>
      <t>•</t>
    </r>
    <r>
      <rPr>
        <sz val="10"/>
        <rFont val="Arial"/>
        <family val="2"/>
      </rPr>
      <t xml:space="preserve"> be equipped with HVLS fans (high-speed low-volume fans)</t>
    </r>
  </si>
  <si>
    <r>
      <rPr>
        <sz val="10"/>
        <rFont val="Calibri"/>
        <family val="2"/>
      </rPr>
      <t>•</t>
    </r>
    <r>
      <rPr>
        <sz val="10"/>
        <rFont val="Arial"/>
        <family val="2"/>
      </rPr>
      <t xml:space="preserve"> be designed with an effective cross ventilation in accordance with requirements in the Performance Path</t>
    </r>
  </si>
  <si>
    <t>Compliant space lighting controls?</t>
  </si>
  <si>
    <t>• Schedule of all the HVAC equipment installed including equipment ensuring better part-load systems efficiency</t>
  </si>
  <si>
    <t>• For occupied spaces equipped with fans, evidence showing the fans installed such as photographs, plans, etc.</t>
  </si>
  <si>
    <t xml:space="preserve">• Schematic drawings of the HVAC system indicating location of thermostats and diffusers </t>
  </si>
  <si>
    <t xml:space="preserve">• Schematic drawings of the HVAC system indicating location of all the equipment </t>
  </si>
  <si>
    <t xml:space="preserve">• Schematic drawings of the HVAC system indicating location of all the demand controls </t>
  </si>
  <si>
    <t>• Plans, elevations and sections marking all operable wall and roof openings</t>
  </si>
  <si>
    <t>• Window schedule indicating the number, location and size of all operable wall and roof openings</t>
  </si>
  <si>
    <t>Install mounted fans in 50% of the occupied areas of the project  that are served by an air-conditioning system</t>
  </si>
  <si>
    <t>Mounted fans: Submit all the documentation listed below:</t>
  </si>
  <si>
    <t>• Schematic drawings of the HVAC system indicating the energy recovery ventilation systems</t>
  </si>
  <si>
    <t>• Schematic drawings of the HVAC system indicating the radiant cooling system</t>
  </si>
  <si>
    <t>• Evidence showing the fans installed such as photographs, plans, etc.</t>
  </si>
  <si>
    <t>• Evidence showing the energy recovery ventilation systems installed such as photographs, commissioning records, etc.</t>
  </si>
  <si>
    <t>• Evidence showing the equipment installed to ensure better part-load systems efficiency such as photographs, commissioning records, etc.</t>
  </si>
  <si>
    <t>• Evidence showing the radiant cooling system installed such as photographs, commissioning records, etc.</t>
  </si>
  <si>
    <t>• Evidence showing that the appliances are certified under a recognized energy efficiency label such as photographs, technical data, etc.</t>
  </si>
  <si>
    <t>• Evidence showing the location of all the plug points such as photographs, electrical drawings, commission records, etc.</t>
  </si>
  <si>
    <r>
      <rPr>
        <b/>
        <sz val="10"/>
        <color rgb="FF984806"/>
        <rFont val="Arial"/>
        <family val="2"/>
      </rPr>
      <t>Commissioning Records</t>
    </r>
    <r>
      <rPr>
        <sz val="10"/>
        <color rgb="FF58AB27"/>
        <rFont val="Arial"/>
        <family val="2"/>
      </rPr>
      <t xml:space="preserve"> </t>
    </r>
    <r>
      <rPr>
        <sz val="10"/>
        <color theme="1"/>
        <rFont val="Arial"/>
        <family val="2"/>
      </rPr>
      <t>- Documents that record the activities and results of the Commissioning Process, including inspection reports, testing reports, etc.</t>
    </r>
  </si>
  <si>
    <r>
      <rPr>
        <b/>
        <sz val="10"/>
        <color rgb="FF984806"/>
        <rFont val="Arial"/>
        <family val="2"/>
      </rPr>
      <t xml:space="preserve">Contract </t>
    </r>
    <r>
      <rPr>
        <sz val="10"/>
        <color theme="1"/>
        <rFont val="Arial"/>
        <family val="2"/>
      </rPr>
      <t xml:space="preserve">- A binding legal agreement of an exchange of promises between two or more parties. </t>
    </r>
  </si>
  <si>
    <r>
      <rPr>
        <b/>
        <sz val="10"/>
        <color rgb="FF984806"/>
        <rFont val="Arial"/>
        <family val="2"/>
      </rPr>
      <t>Floor Plan</t>
    </r>
    <r>
      <rPr>
        <sz val="10"/>
        <color rgb="FF58AB27"/>
        <rFont val="Arial"/>
        <family val="2"/>
      </rPr>
      <t xml:space="preserve"> </t>
    </r>
    <r>
      <rPr>
        <sz val="10"/>
        <color theme="1"/>
        <rFont val="Arial"/>
        <family val="2"/>
      </rPr>
      <t xml:space="preserve">- A floor plan is the most fundamental architectural diagram, a view from above showing the arrangement of spaces in building in the same way as a map, but showing the arrangement at a particular level of a building. Technically it is a horizontal section cut though a building (conventionally at three feet/one metre above floor level), showing walls, window and door openings and other features at that level. </t>
    </r>
  </si>
  <si>
    <r>
      <rPr>
        <b/>
        <sz val="10"/>
        <color rgb="FF984806"/>
        <rFont val="Arial"/>
        <family val="2"/>
      </rPr>
      <t>Invoice / Receipt</t>
    </r>
    <r>
      <rPr>
        <b/>
        <sz val="10"/>
        <color rgb="FF58AB27"/>
        <rFont val="Arial"/>
        <family val="2"/>
      </rPr>
      <t xml:space="preserve"> </t>
    </r>
    <r>
      <rPr>
        <sz val="10"/>
        <color theme="1"/>
        <rFont val="Arial"/>
        <family val="2"/>
      </rPr>
      <t>- A proof of purchase given from a supplier to a consumer.</t>
    </r>
  </si>
  <si>
    <r>
      <rPr>
        <b/>
        <sz val="10"/>
        <color rgb="FF984806"/>
        <rFont val="Arial"/>
        <family val="2"/>
      </rPr>
      <t xml:space="preserve">Inventory / Schedule </t>
    </r>
    <r>
      <rPr>
        <b/>
        <sz val="10"/>
        <color rgb="FF58AB27"/>
        <rFont val="Arial"/>
        <family val="2"/>
      </rPr>
      <t xml:space="preserve"> </t>
    </r>
    <r>
      <rPr>
        <sz val="10"/>
        <color theme="1"/>
        <rFont val="Arial"/>
        <family val="2"/>
      </rPr>
      <t>- A complete list of specific items or contents within a project space</t>
    </r>
  </si>
  <si>
    <r>
      <rPr>
        <b/>
        <sz val="10"/>
        <color rgb="FF984806"/>
        <rFont val="Arial"/>
        <family val="2"/>
      </rPr>
      <t>Photographs</t>
    </r>
    <r>
      <rPr>
        <sz val="10"/>
        <rFont val="Arial"/>
        <family val="2"/>
      </rPr>
      <t xml:space="preserve"> - Photographs can be used as evidence to show that a strategy has been implemented, a piece of equipment has been installed, etc. The following requirements must be met when submitting photographs as evidence:
- Photographs should be dated
- Photographs should not be blurry or distorted
- Several photographs (at varying levels of proximity) should be taken for each green feature meeting LOTUS requirements. In this manner, both the general location and the specifics (model name, rated power input, etc.) of the green feature can be observed.</t>
    </r>
  </si>
  <si>
    <r>
      <rPr>
        <b/>
        <sz val="11"/>
        <rFont val="Calibri"/>
        <family val="2"/>
        <scheme val="minor"/>
      </rPr>
      <t xml:space="preserve">• </t>
    </r>
    <r>
      <rPr>
        <b/>
        <sz val="11"/>
        <color rgb="FF984806"/>
        <rFont val="Calibri"/>
        <family val="2"/>
        <scheme val="minor"/>
      </rPr>
      <t>Management (Man)</t>
    </r>
    <r>
      <rPr>
        <sz val="11"/>
        <rFont val="Calibri"/>
        <family val="2"/>
        <scheme val="minor"/>
      </rPr>
      <t xml:space="preserve"> - To ensure that, throughout the project, all targets set up for the various stages (design, construction and operation) are competently and effectively managed.</t>
    </r>
  </si>
  <si>
    <r>
      <t>On receipt of the signed copy of th</t>
    </r>
    <r>
      <rPr>
        <sz val="11"/>
        <rFont val="Calibri"/>
        <family val="2"/>
        <scheme val="minor"/>
      </rPr>
      <t>e Certification Agreement,</t>
    </r>
    <r>
      <rPr>
        <sz val="11"/>
        <color theme="1"/>
        <rFont val="Calibri"/>
        <family val="2"/>
        <scheme val="minor"/>
      </rPr>
      <t xml:space="preserve"> the Assessment Organization will invoice the </t>
    </r>
    <r>
      <rPr>
        <b/>
        <sz val="11"/>
        <color rgb="FF984806"/>
        <rFont val="Calibri"/>
        <family val="2"/>
        <scheme val="minor"/>
      </rPr>
      <t>Assessment Fee</t>
    </r>
    <r>
      <rPr>
        <sz val="11"/>
        <color theme="1"/>
        <rFont val="Calibri"/>
        <family val="2"/>
        <scheme val="minor"/>
      </rPr>
      <t xml:space="preserve"> to the Applicant. The project registration is complete when the Assessment Fee is paid. The Applicant will then be issued with a </t>
    </r>
    <r>
      <rPr>
        <b/>
        <sz val="11"/>
        <color rgb="FF984806"/>
        <rFont val="Calibri"/>
        <family val="2"/>
        <scheme val="minor"/>
      </rPr>
      <t>Project Identification Number (PIN)</t>
    </r>
    <r>
      <rPr>
        <sz val="11"/>
        <color rgb="FF76923C"/>
        <rFont val="Calibri"/>
        <family val="2"/>
        <scheme val="minor"/>
      </rPr>
      <t xml:space="preserve"> </t>
    </r>
    <r>
      <rPr>
        <sz val="11"/>
        <color theme="1"/>
        <rFont val="Calibri"/>
        <family val="2"/>
        <scheme val="minor"/>
      </rPr>
      <t xml:space="preserve">and assigned an </t>
    </r>
    <r>
      <rPr>
        <b/>
        <sz val="11"/>
        <color rgb="FF984806"/>
        <rFont val="Calibri"/>
        <family val="2"/>
        <scheme val="minor"/>
      </rPr>
      <t>Assessment Organization Representative</t>
    </r>
    <r>
      <rPr>
        <sz val="11"/>
        <color theme="1"/>
        <rFont val="Calibri"/>
        <family val="2"/>
        <scheme val="minor"/>
      </rPr>
      <t xml:space="preserve"> for the certification process. Only projects which have completed registration can follow the next steps of Certification.</t>
    </r>
  </si>
  <si>
    <t xml:space="preserve">Only a few of the credits that will be targeted at Certification stage may be completed for Pre-assessment and no further documentation is required. </t>
  </si>
  <si>
    <t xml:space="preserve">Once the User Tool is completed, the Applicant simply sends the completed User Tool to Assessment Organization for verification. </t>
  </si>
  <si>
    <t>The Assessment Organization will reply in 10 working days with an assessment report including corrections, advices and recommendations.</t>
  </si>
  <si>
    <t>This is the actual submittal stage for certification under LOTUS Small Interiors. It should happen at the end of the construction stage and should follow the following process.</t>
  </si>
  <si>
    <t>If one of the 2 following statements is true, then the Eligibility Rule 6 is met. If not, the project should follow LOTUS Interiors.</t>
  </si>
  <si>
    <r>
      <t>1. The project has a gross floor area lower than 1,000 m</t>
    </r>
    <r>
      <rPr>
        <vertAlign val="superscript"/>
        <sz val="11"/>
        <rFont val="Calibri"/>
        <family val="2"/>
        <scheme val="minor"/>
      </rPr>
      <t>2</t>
    </r>
    <r>
      <rPr>
        <sz val="11"/>
        <rFont val="Calibri"/>
        <family val="2"/>
        <scheme val="minor"/>
      </rPr>
      <t xml:space="preserve"> </t>
    </r>
  </si>
  <si>
    <t xml:space="preserve">2. The project fit-out activities include no more than 3 of the following categories: </t>
  </si>
  <si>
    <t>Based on the results of the assessment of the Certification Submission, a LOTUS Small Interiors Certificate will be issued.</t>
  </si>
  <si>
    <t>• perform all the calculations required in the credits</t>
  </si>
  <si>
    <t xml:space="preserve">• complete all the information necessary to show compliance with a credit </t>
  </si>
  <si>
    <t>• list the documents submitted as evidence</t>
  </si>
  <si>
    <t>Submission Process</t>
  </si>
  <si>
    <t>Once payment for the Assessment Fee has been received, the Assessment Organization Representative provides the Applicant Representative with a complete package of documentation that includes the Project Submission Folder and a Resources folder.</t>
  </si>
  <si>
    <t>Project Submission Folder</t>
  </si>
  <si>
    <t xml:space="preserve">The Project Submission Folder is the main folder provided that, upon completion, should be returned to the Assessment Organization Representative for assessment. 
The Project Submission Folder contains 8 category folders for the 8 LOTUS Small Interiors Categories. </t>
  </si>
  <si>
    <t xml:space="preserve">Within each of these folders, the Applicant should include all the supporting evidence for the credits of the category that are pursued. </t>
  </si>
  <si>
    <t>Materials/Products from an ISO 14001 certified manufacturer</t>
  </si>
  <si>
    <t>Locally manufactured materials/products</t>
  </si>
  <si>
    <t>Locally extracted, harvested and manufactured materials/products</t>
  </si>
  <si>
    <t>Materials/Products made of rapidly renewable materials</t>
  </si>
  <si>
    <t>Materials/Products with recycled content</t>
  </si>
  <si>
    <t>Materials/Products with reused components</t>
  </si>
  <si>
    <t>Reused materials/products</t>
  </si>
  <si>
    <t>Reused materials/products include the following materials/products:</t>
  </si>
  <si>
    <t>- materials/products purchased from a second-hand retailer</t>
  </si>
  <si>
    <t>- materials/products that were used on the current site by a previous occupant or installed by a building owner as part of make good processes prior to fitout works by the tenant.</t>
  </si>
  <si>
    <t>- materials/products relocated to the site from the project’s previous fitout or building.</t>
  </si>
  <si>
    <t>Materials/Products composed with some reused components (following the above definition of reused materials).</t>
  </si>
  <si>
    <t>Materials/Products with a post-consumer recycled content and/or a pre-consumer recycled content.</t>
  </si>
  <si>
    <t>Materials/Products made of natural building materials planted and harvested within a 10 year cycle such as bamboo, cork, coconut, straw, reed, etc.</t>
  </si>
  <si>
    <t>Consider and implement 2 strategies to reduce the waste generation during fit-out activities.</t>
  </si>
  <si>
    <r>
      <rPr>
        <b/>
        <sz val="10"/>
        <rFont val="Arial"/>
        <family val="2"/>
      </rPr>
      <t>Strategy A: Waste Diversion</t>
    </r>
    <r>
      <rPr>
        <sz val="10"/>
        <rFont val="Arial"/>
        <family val="2"/>
      </rPr>
      <t xml:space="preserve">
For 1 point, reuse, salvage and/or recycle 30% of fit-out waste
For 2 points, reuse, salvage and/or recycle 60% of fit-out waste</t>
    </r>
  </si>
  <si>
    <t>- AND -</t>
  </si>
  <si>
    <t>Recycle or reuse typical fit-out waste such as: Brick, Concrete, Metals, Plastic, Glass, Timber, Corrugated cardboard, Drywall, etc.</t>
  </si>
  <si>
    <t>• Evidence showing the waste storage area during fit-out such as photographs, etc.</t>
  </si>
  <si>
    <r>
      <t>• Extract of an operation and maintenance manual indicating the procedures for operation, adjustment and maintenance of the CO</t>
    </r>
    <r>
      <rPr>
        <vertAlign val="subscript"/>
        <sz val="10"/>
        <rFont val="Arial"/>
        <family val="2"/>
      </rPr>
      <t>2</t>
    </r>
    <r>
      <rPr>
        <sz val="10"/>
        <rFont val="Arial"/>
        <family val="2"/>
      </rPr>
      <t xml:space="preserve"> monitoring system</t>
    </r>
  </si>
  <si>
    <r>
      <t>• Evidence of the CO</t>
    </r>
    <r>
      <rPr>
        <vertAlign val="subscript"/>
        <sz val="10"/>
        <rFont val="Arial"/>
        <family val="2"/>
      </rPr>
      <t>2</t>
    </r>
    <r>
      <rPr>
        <sz val="10"/>
        <rFont val="Arial"/>
        <family val="2"/>
      </rPr>
      <t xml:space="preserve"> monitoring system equipment installed, such as photographs, invoices, receipts, commissioning report, etc.</t>
    </r>
  </si>
  <si>
    <r>
      <rPr>
        <sz val="10"/>
        <color rgb="FF943634"/>
        <rFont val="Arial"/>
        <family val="2"/>
      </rPr>
      <t>Table H.3</t>
    </r>
    <r>
      <rPr>
        <sz val="10"/>
        <rFont val="Arial"/>
        <family val="2"/>
      </rPr>
      <t>: Minimum required Illuminance levels (Adapted from Table 12 of the Guidelines for Building Energy Code QCVN 09:2013/BXD)</t>
    </r>
  </si>
  <si>
    <t>Ensure sufficient light levels in the habitable spaces by meeting recommendations on illuminance in Table H.3 below.</t>
  </si>
  <si>
    <r>
      <rPr>
        <i/>
        <sz val="10"/>
        <color rgb="FF943634"/>
        <rFont val="Arial"/>
        <family val="2"/>
      </rPr>
      <t>Table H.5</t>
    </r>
    <r>
      <rPr>
        <i/>
        <sz val="10"/>
        <rFont val="Arial"/>
        <family val="2"/>
      </rPr>
      <t>: Reverberation time requirements</t>
    </r>
  </si>
  <si>
    <t>Average reverberation time (T60) in the occupied spaces of the project should be lower than values in Table H.5</t>
  </si>
  <si>
    <t>Tenancy  lease</t>
  </si>
  <si>
    <t>• Manufacturer’s published data indicating the proposed types of systems with the type and volume of refrigerants used</t>
  </si>
  <si>
    <t>• Evidence of the HVAC/R equipment installed, such as photographs, invoices, receipts, commissioning report, etc.</t>
  </si>
  <si>
    <t>If no refrigerant is used or only in systems using less than 250 grams of refrigerant:
• Document indicating that no system using refrigerants were installed by the project such as letter from tenant, etc.</t>
  </si>
  <si>
    <t>If low-impact refrigerants are used:
• Manufacturer’s published data indicating the proposed types of systems with the type of low-impact refrigerants used</t>
  </si>
  <si>
    <t>If low-impact refrigerants are used:
• Evidence of the equipment with low-impact refrigerants installed, such as photographs, invoices, receipts, commissioning report, etc.</t>
  </si>
  <si>
    <t xml:space="preserve">Non-baked materials </t>
  </si>
  <si>
    <t>Building materials that solidify and meet all required physical properties (compressive strength, bending strength, water absorption, etc.) without undergoing the firing process as traditional baked bricks do. Non-baked materials include: concrete bricks, gypsum panels, AAC blocks, etc.</t>
  </si>
  <si>
    <t xml:space="preserve">Materials designed for disassembly </t>
  </si>
  <si>
    <t>Materials easy to dismantle, to disassemble and to remove from the building for future reuse or recycling.</t>
  </si>
  <si>
    <t>Materials designed for disassembly</t>
  </si>
  <si>
    <t>None</t>
  </si>
  <si>
    <t>• Non-baked materials (for non-structural walls only)</t>
  </si>
  <si>
    <t>The following materials are considered as sustainable materials under LOTUS Small Interiors:</t>
  </si>
  <si>
    <t>Refurbishment projects are also eligible for LOTUS SI.</t>
  </si>
  <si>
    <t>All relevant communication with the Assessment Organization (technical queries, credit interpretations, etc.)</t>
  </si>
  <si>
    <t>Percentage of occupied spaces with compliant illuminance (%)</t>
  </si>
  <si>
    <t>Materials/Products made of timber from a sustainable source</t>
  </si>
  <si>
    <t>H-2 Low-VOC Emissions Products</t>
  </si>
  <si>
    <r>
      <rPr>
        <b/>
        <sz val="10"/>
        <rFont val="Arial"/>
        <family val="2"/>
      </rPr>
      <t>Strategy A: Paints and coatings</t>
    </r>
    <r>
      <rPr>
        <sz val="10"/>
        <rFont val="Arial"/>
        <family val="2"/>
      </rPr>
      <t xml:space="preserve">
Specify and install low-VOC emission paints and coatings </t>
    </r>
  </si>
  <si>
    <r>
      <rPr>
        <b/>
        <sz val="10"/>
        <rFont val="Arial"/>
        <family val="2"/>
      </rPr>
      <t>Strategy B: Adhesives and sealants</t>
    </r>
    <r>
      <rPr>
        <sz val="10"/>
        <rFont val="Arial"/>
        <family val="2"/>
      </rPr>
      <t xml:space="preserve">
Specify and install low-VOC emission adhesives and sealants</t>
    </r>
  </si>
  <si>
    <r>
      <rPr>
        <b/>
        <sz val="10"/>
        <rFont val="Arial"/>
        <family val="2"/>
      </rPr>
      <t>Strategy C: Floorings</t>
    </r>
    <r>
      <rPr>
        <sz val="10"/>
        <rFont val="Arial"/>
        <family val="2"/>
      </rPr>
      <t xml:space="preserve">
Specify and install low-VOC emission floorings</t>
    </r>
  </si>
  <si>
    <r>
      <rPr>
        <b/>
        <sz val="10"/>
        <rFont val="Arial"/>
        <family val="2"/>
      </rPr>
      <t>Strategy D: Composite wood products</t>
    </r>
    <r>
      <rPr>
        <sz val="10"/>
        <rFont val="Arial"/>
        <family val="2"/>
      </rPr>
      <t xml:space="preserve">
Specify and install low-formaldehyde emission composite wood products</t>
    </r>
  </si>
  <si>
    <r>
      <rPr>
        <b/>
        <sz val="10"/>
        <rFont val="Arial"/>
        <family val="2"/>
      </rPr>
      <t>Strategy E: Ceilings, partitions and insulation</t>
    </r>
    <r>
      <rPr>
        <sz val="10"/>
        <rFont val="Arial"/>
        <family val="2"/>
      </rPr>
      <t xml:space="preserve">
Specify and install low-VOC emission ceiling, partition and insulation products</t>
    </r>
  </si>
  <si>
    <t>Click on the links on 
the right to navigate 
to other H&amp;C credits</t>
  </si>
  <si>
    <t>Strategy E: Ceilings, partitions and insulation</t>
  </si>
  <si>
    <t>Thermal and acoustic insulation should be considered in this strategy but not HVAC ductwork insulation.</t>
  </si>
  <si>
    <t>Complete the table below with information on all the ceiling, partition and insulation products installed by the project:</t>
  </si>
  <si>
    <t>Low-VOC emission product?</t>
  </si>
  <si>
    <t>• For each low-VOC product, evidence showing that the products installed are low-VOC products such as manufacturer’s published data, certificate, test reports, etc.</t>
  </si>
  <si>
    <t>• Evidence showing that the low-VOC products have been installed such as invoices, receipts, delivery notes, etc.</t>
  </si>
  <si>
    <t>• For each low-formaldehyde product, evidence showing that the products installed are low-formaldehyde products such as manufacturer’s published data, certificate, test reports, etc.</t>
  </si>
  <si>
    <t>• Evidence showing that the low-formaldehyde products have been installed such as invoices, receipts, delivery notes, etc.</t>
  </si>
  <si>
    <t>All ceilings, partitions and insulation compliant ?</t>
  </si>
  <si>
    <t>All floorings compliant?</t>
  </si>
  <si>
    <t>Type of flooring product</t>
  </si>
  <si>
    <r>
      <rPr>
        <b/>
        <sz val="10"/>
        <rFont val="Arial"/>
        <family val="2"/>
      </rPr>
      <t>E-BPC-1 Energy Controls</t>
    </r>
    <r>
      <rPr>
        <sz val="10"/>
        <rFont val="Arial"/>
        <family val="2"/>
      </rPr>
      <t xml:space="preserve">
Install at least 2 different types of energy control solutions in the interior project space</t>
    </r>
  </si>
  <si>
    <t>Install at least 2 different types of energy control solutions in the interior project space where it can be effective:</t>
  </si>
  <si>
    <t>Non-air-conditioned spaces, submit all the documentation listed below:</t>
  </si>
  <si>
    <t>Air-conditioned spaces and mixed-mode ventilated spaces, submit all the documentation listed below:</t>
  </si>
  <si>
    <t>- Lighting Power Density of the space is reduced by more than 30% compared with the LPD value of the same space type in Table A.1</t>
  </si>
  <si>
    <r>
      <rPr>
        <sz val="10"/>
        <color rgb="FF943634"/>
        <rFont val="Arial"/>
        <family val="2"/>
      </rPr>
      <t>Table A.1</t>
    </r>
    <r>
      <rPr>
        <sz val="10"/>
        <color theme="1"/>
        <rFont val="Arial"/>
        <family val="2"/>
      </rPr>
      <t xml:space="preserve">: Lighting Power Density Requirements </t>
    </r>
  </si>
  <si>
    <t>(Sources: QCXDVN 09:2005, ASHRAE 90.1 – 2007 &amp; 2010, ECBC – 2007)</t>
  </si>
  <si>
    <t>Building Categories</t>
  </si>
  <si>
    <t>Space types</t>
  </si>
  <si>
    <r>
      <t>LPD (W/m</t>
    </r>
    <r>
      <rPr>
        <vertAlign val="superscript"/>
        <sz val="10"/>
        <color rgb="FFFFFFFF"/>
        <rFont val="Arial"/>
        <family val="2"/>
      </rPr>
      <t>2</t>
    </r>
    <r>
      <rPr>
        <sz val="10"/>
        <color rgb="FFFFFFFF"/>
        <rFont val="Arial"/>
        <family val="2"/>
      </rPr>
      <t>)</t>
    </r>
  </si>
  <si>
    <t>Typical of all buildings</t>
  </si>
  <si>
    <t>Corridor</t>
  </si>
  <si>
    <t>Lobby</t>
  </si>
  <si>
    <t>Restrooms</t>
  </si>
  <si>
    <t>Food Preparation</t>
  </si>
  <si>
    <t>Storage, Active</t>
  </si>
  <si>
    <t>Storage, Inactive</t>
  </si>
  <si>
    <t>Electrical/Mechanical</t>
  </si>
  <si>
    <t>Dressing/Locker/Fitting Room</t>
  </si>
  <si>
    <t>Apartments</t>
  </si>
  <si>
    <t>Apartments / Condos (Public spaces)</t>
  </si>
  <si>
    <t>Banks</t>
  </si>
  <si>
    <t>Lobby, General</t>
  </si>
  <si>
    <t>Lobby, Writing area</t>
  </si>
  <si>
    <t>Tellers' stations</t>
  </si>
  <si>
    <t>Hotels</t>
  </si>
  <si>
    <t>Bathrooms</t>
  </si>
  <si>
    <t>Guest/ Bed Rooms, General</t>
  </si>
  <si>
    <t>Guest/ Bed Rooms, Reading</t>
  </si>
  <si>
    <t>Corridors, elevators and stairs</t>
  </si>
  <si>
    <t>Banquet and Exhibit</t>
  </si>
  <si>
    <t>Lobby, Front Desk, Reading</t>
  </si>
  <si>
    <t>Lobby, General Lighting</t>
  </si>
  <si>
    <t>Hospitals</t>
  </si>
  <si>
    <t>Consulting areas, General</t>
  </si>
  <si>
    <t>Consulting areas, Examination</t>
  </si>
  <si>
    <t>Corridors, General, Waiting Rooms</t>
  </si>
  <si>
    <t>Ward Corridors, Day / Night</t>
  </si>
  <si>
    <t>Laboratories, General</t>
  </si>
  <si>
    <t>Laboratories, Examination</t>
  </si>
  <si>
    <t>Nurses Stations</t>
  </si>
  <si>
    <t>Ward Bed Head, Reading</t>
  </si>
  <si>
    <t>Surgeries, General</t>
  </si>
  <si>
    <t>Offices</t>
  </si>
  <si>
    <t>Accounting</t>
  </si>
  <si>
    <t>Audio Visual areas</t>
  </si>
  <si>
    <t>Conference areas</t>
  </si>
  <si>
    <t>General and private offices</t>
  </si>
  <si>
    <t>Printing</t>
  </si>
  <si>
    <t>Off-set printing and duplicating area</t>
  </si>
  <si>
    <t xml:space="preserve">Restaurants </t>
  </si>
  <si>
    <t>Fast Food/ Cafeteria</t>
  </si>
  <si>
    <t>Leisure Dining</t>
  </si>
  <si>
    <t>Bar/ Lounge</t>
  </si>
  <si>
    <t>Retail, shops, stores</t>
  </si>
  <si>
    <t>Conventional with counters</t>
  </si>
  <si>
    <t>Conventional with wall display</t>
  </si>
  <si>
    <t>Self Service</t>
  </si>
  <si>
    <t>Supermarkets</t>
  </si>
  <si>
    <t>Mall concourse/ multi-store service</t>
  </si>
  <si>
    <t>Libraries</t>
  </si>
  <si>
    <t>Nursing Homes</t>
  </si>
  <si>
    <t>Schools</t>
  </si>
  <si>
    <t>Pre/elementary</t>
  </si>
  <si>
    <t>High/ Tech/ University</t>
  </si>
  <si>
    <t>Worship</t>
  </si>
  <si>
    <t>Temples/ Churches/ Synagogues</t>
  </si>
  <si>
    <t>Manufacturing</t>
  </si>
  <si>
    <t>Low Bay (&lt;25 ft Floor to Ceiling Height)</t>
  </si>
  <si>
    <t>High Bay (≥25 ft Floor to Ceiling Height)</t>
  </si>
  <si>
    <t>Detailed Manufacturing</t>
  </si>
  <si>
    <t>Equipment Room</t>
  </si>
  <si>
    <t>Control Room</t>
  </si>
  <si>
    <t>Parking - Garage</t>
  </si>
  <si>
    <t>Garage area</t>
  </si>
  <si>
    <t>Convention center</t>
  </si>
  <si>
    <t xml:space="preserve">Exhibit Space </t>
  </si>
  <si>
    <t>Dormitory</t>
  </si>
  <si>
    <t>Living Quarters</t>
  </si>
  <si>
    <t>Warehouse</t>
  </si>
  <si>
    <t>Fine Material Storage</t>
  </si>
  <si>
    <t>Medium/Bulky Material Storage</t>
  </si>
  <si>
    <r>
      <rPr>
        <b/>
        <sz val="10"/>
        <rFont val="Arial"/>
        <family val="2"/>
      </rPr>
      <t>Strategy B: Reduction of Waste Generation</t>
    </r>
    <r>
      <rPr>
        <sz val="10"/>
        <rFont val="Arial"/>
        <family val="2"/>
      </rPr>
      <t xml:space="preserve">
Implement 2 of the strategies below to reduce the waste generation during fit-out</t>
    </r>
  </si>
  <si>
    <t>Provide a waste storage area on the construction site for collection and separation of recyclable fit-out waste.</t>
  </si>
  <si>
    <t>• Photographs showing the different types of quality views</t>
  </si>
  <si>
    <t>Innovative solution 1</t>
  </si>
  <si>
    <t>Proposed Innovative solution</t>
  </si>
  <si>
    <t>Innovative solution 2</t>
  </si>
  <si>
    <t>Innovative solution 3</t>
  </si>
  <si>
    <t>Innovative solution 4</t>
  </si>
  <si>
    <r>
      <rPr>
        <sz val="10"/>
        <rFont val="Calibri"/>
        <family val="2"/>
      </rPr>
      <t>•</t>
    </r>
    <r>
      <rPr>
        <sz val="10"/>
        <rFont val="Arial"/>
        <family val="2"/>
      </rPr>
      <t xml:space="preserve"> Global Green Tag</t>
    </r>
  </si>
  <si>
    <t xml:space="preserve">Materials/Products certified under third party ecolabels (not considering whole LCA) such as Global GreenTag GreenRate, Singapore Green Building Product, Singapore Green Labelling Scheme (SGLS), etc. </t>
  </si>
  <si>
    <r>
      <rPr>
        <b/>
        <sz val="10"/>
        <color rgb="FF984806"/>
        <rFont val="Arial"/>
        <family val="2"/>
      </rPr>
      <t>Climate change</t>
    </r>
    <r>
      <rPr>
        <sz val="10"/>
        <rFont val="Arial"/>
        <family val="2"/>
      </rPr>
      <t xml:space="preserve"> - In modern terms, climate change refers to the changes of the Earth climate mainly due to the uncharacteristic increase of greenhouse gases concentration in the atmosphere, resulting from human activities.</t>
    </r>
  </si>
  <si>
    <r>
      <rPr>
        <b/>
        <sz val="10"/>
        <color rgb="FF984806"/>
        <rFont val="Arial"/>
        <family val="2"/>
      </rPr>
      <t>ASHRAE</t>
    </r>
    <r>
      <rPr>
        <sz val="10"/>
        <rFont val="Arial"/>
        <family val="2"/>
      </rPr>
      <t xml:space="preserve"> - The American Society of Heating, Refrigerating and Air Conditioning Engineers is an international technical society for all individuals and organizations interested in heating, ventilation, air-conditioning, and refrigeration. The society publications include handbook, journal as well as series of HVAC relating standards and guidelines. These standards are often referenced in green building assessment reference guide/technical manual and are considered useful guide for consulting engineers, mechanical contractors, architects, and government agencies.</t>
    </r>
  </si>
  <si>
    <r>
      <rPr>
        <b/>
        <sz val="10"/>
        <color rgb="FF984806"/>
        <rFont val="Arial"/>
        <family val="2"/>
      </rPr>
      <t>Natural lighting or daylighting</t>
    </r>
    <r>
      <rPr>
        <sz val="10"/>
        <color rgb="FF984806"/>
        <rFont val="Arial"/>
        <family val="2"/>
      </rPr>
      <t xml:space="preserve"> </t>
    </r>
    <r>
      <rPr>
        <sz val="10"/>
        <rFont val="Arial"/>
        <family val="2"/>
      </rPr>
      <t>- Technologies or design strategies used to provide lighting to buildings without power consumption. Although maximizing natural lighting will minimize electricity consumption used for lighting, too much solar irradiation will heat up the building and increase cooling load.</t>
    </r>
  </si>
  <si>
    <r>
      <rPr>
        <b/>
        <sz val="10"/>
        <color rgb="FF984806"/>
        <rFont val="Arial"/>
        <family val="2"/>
      </rPr>
      <t>Non-baked materials</t>
    </r>
    <r>
      <rPr>
        <sz val="10"/>
        <rFont val="Arial"/>
        <family val="2"/>
      </rPr>
      <t xml:space="preserve"> - Also called Non-fired materials. They are building materials that solidify and meet all required physical properties (compressive strength, bending strength, water absorption, etc.) without undergoing the firing process. In the Decision No. 567/QD-TTg of April 28, 2010 (Approving the Program on development of non-baked building materials through 2020), the Vietnamese government has officially supported the development of non-baked materials to replace traditionally baked bricks, a main cause of pollution and energy waste.</t>
    </r>
  </si>
  <si>
    <r>
      <rPr>
        <b/>
        <sz val="10"/>
        <color rgb="FF984806"/>
        <rFont val="Arial"/>
        <family val="2"/>
      </rPr>
      <t>Environmental Product Declaration (EPD)</t>
    </r>
    <r>
      <rPr>
        <b/>
        <sz val="10"/>
        <color rgb="FFFFAF00"/>
        <rFont val="Arial"/>
        <family val="2"/>
      </rPr>
      <t xml:space="preserve"> </t>
    </r>
    <r>
      <rPr>
        <sz val="10"/>
        <rFont val="Arial"/>
        <family val="2"/>
      </rPr>
      <t>– It is a standardized way of quantifying the environmental impact of a product or system. Declarations include information on the environmental impact of raw material acquisition, energy use and efficiency, content of materials and chemical substances, emissions to air, soil and water and waste generation. Product and company information is also included.</t>
    </r>
  </si>
  <si>
    <r>
      <rPr>
        <b/>
        <sz val="10"/>
        <color rgb="FF984806"/>
        <rFont val="Arial"/>
        <family val="2"/>
      </rPr>
      <t>Computational Fluid Dynamic (CFD) Analysis</t>
    </r>
    <r>
      <rPr>
        <sz val="10"/>
        <rFont val="Arial"/>
        <family val="2"/>
      </rPr>
      <t xml:space="preserve"> - A modelling technique that can be used to calculate fluid properties such as temperature, heat flow, wind velocity and air flow of a building.</t>
    </r>
  </si>
  <si>
    <r>
      <rPr>
        <b/>
        <sz val="10"/>
        <color rgb="FF984806"/>
        <rFont val="Arial"/>
        <family val="2"/>
      </rPr>
      <t>Tenant</t>
    </r>
    <r>
      <rPr>
        <b/>
        <sz val="10"/>
        <color rgb="FFFFAF00"/>
        <rFont val="Arial"/>
        <family val="2"/>
      </rPr>
      <t xml:space="preserve"> </t>
    </r>
    <r>
      <rPr>
        <sz val="10"/>
        <rFont val="Arial"/>
        <family val="2"/>
      </rPr>
      <t>- Entity (person, company, etc.) that occupies a property rented from a landlord (the property owner) through a lease or tenancy agreement.</t>
    </r>
  </si>
  <si>
    <r>
      <rPr>
        <b/>
        <sz val="10"/>
        <color rgb="FF984806"/>
        <rFont val="Arial"/>
        <family val="2"/>
      </rPr>
      <t>Testing, Adjusting and Balancing (TAB)</t>
    </r>
    <r>
      <rPr>
        <b/>
        <sz val="10"/>
        <color rgb="FFFFAF00"/>
        <rFont val="Arial"/>
        <family val="2"/>
      </rPr>
      <t xml:space="preserve"> </t>
    </r>
    <r>
      <rPr>
        <sz val="10"/>
        <rFont val="Arial"/>
        <family val="2"/>
      </rPr>
      <t>- They are the three major steps used to achieve proper operation of HVAC systems. Testing is the use of specialized and calibrated instruments to measure temperatures, pressures, rotational speeds, electrical characteristics, velocities, and air and water quantities for an evaluation of equipment and system performance. Balancing is the methodical regulation of system fluid flows (air or water) through the use of acceptable procedures to achieve the desired or specified airflow or water flow. Adjusting is the final setting of balancing devices such as dampers and valves, adjusting fan speeds and pump impeller sizes, in addition to automatic control devices such as thermostats and pressure controllers to achieve maximum specified system performance and efficiency during normal operation</t>
    </r>
  </si>
  <si>
    <r>
      <rPr>
        <b/>
        <sz val="10"/>
        <color rgb="FF984806"/>
        <rFont val="Arial"/>
        <family val="2"/>
      </rPr>
      <t>VAV (variable air volume)</t>
    </r>
    <r>
      <rPr>
        <b/>
        <sz val="10"/>
        <color rgb="FFFFAF00"/>
        <rFont val="Arial"/>
        <family val="2"/>
      </rPr>
      <t xml:space="preserve"> </t>
    </r>
    <r>
      <rPr>
        <sz val="10"/>
        <rFont val="Arial"/>
        <family val="2"/>
      </rPr>
      <t>- Type of HVAC system which has the ability to vary the airflow of cooled supply air (maintained at a constant temperature) to the different air-conditioned spaces in order to meet precisely the thermal setpoint.</t>
    </r>
  </si>
  <si>
    <r>
      <rPr>
        <b/>
        <sz val="10"/>
        <color rgb="FF984806"/>
        <rFont val="Arial"/>
        <family val="2"/>
      </rPr>
      <t>VRV/VRF (variable refrigerant volume/flow)</t>
    </r>
    <r>
      <rPr>
        <b/>
        <sz val="10"/>
        <color rgb="FFFFAF00"/>
        <rFont val="Arial"/>
        <family val="2"/>
      </rPr>
      <t xml:space="preserve"> </t>
    </r>
    <r>
      <rPr>
        <sz val="10"/>
        <rFont val="Arial"/>
        <family val="2"/>
      </rPr>
      <t>- Type of direct (one refrigerant only) air-conditioning system with variable speed compressors, several air handlers (indoor units) on the same refrigerant loop/circuit.</t>
    </r>
  </si>
  <si>
    <r>
      <rPr>
        <b/>
        <sz val="10"/>
        <color rgb="FF984806"/>
        <rFont val="Arial"/>
        <family val="2"/>
      </rPr>
      <t>VSD (variable-speed drive)</t>
    </r>
    <r>
      <rPr>
        <b/>
        <sz val="10"/>
        <rFont val="Arial"/>
        <family val="2"/>
      </rPr>
      <t xml:space="preserve"> </t>
    </r>
    <r>
      <rPr>
        <sz val="10"/>
        <rFont val="Arial"/>
        <family val="2"/>
      </rPr>
      <t>- Equipment used to control the speed of a pump or fan to adjust to the demand.</t>
    </r>
  </si>
  <si>
    <r>
      <rPr>
        <b/>
        <sz val="10"/>
        <color rgb="FF984806"/>
        <rFont val="Arial"/>
        <family val="2"/>
      </rPr>
      <t xml:space="preserve">Delivery note </t>
    </r>
    <r>
      <rPr>
        <sz val="10"/>
        <rFont val="Arial"/>
        <family val="2"/>
      </rPr>
      <t xml:space="preserve">- A document accompanying a shipment of goods that lists the description, and quantity of the goods delivered. </t>
    </r>
  </si>
  <si>
    <t>Option A: Green certified base building</t>
  </si>
  <si>
    <r>
      <rPr>
        <b/>
        <sz val="10"/>
        <rFont val="Arial"/>
        <family val="2"/>
      </rPr>
      <t>Option A: Green certified base building</t>
    </r>
    <r>
      <rPr>
        <sz val="10"/>
        <rFont val="Arial"/>
        <family val="2"/>
      </rPr>
      <t xml:space="preserve">
For 2 points, base building is certified under a recognised green building certification system with a rating equivalent to LOTUS Certified or Silver Certified 
For 3 points, base building is certified under a recognised green building certification system with a rating equivalent to LOTUS Gold or Platinum Certified</t>
    </r>
  </si>
  <si>
    <t>8th Floor, Hanoi Creative City Building, 01 Luong Yen, Hai Ba Trung, Hanoi, Vietnam</t>
  </si>
  <si>
    <r>
      <rPr>
        <b/>
        <sz val="10"/>
        <rFont val="Arial"/>
        <family val="2"/>
      </rPr>
      <t>Strategy A: Environmentally friendly waste management system</t>
    </r>
    <r>
      <rPr>
        <sz val="10"/>
        <rFont val="Arial"/>
        <family val="2"/>
      </rPr>
      <t xml:space="preserve">
Implement an environmentally friendly waste management system</t>
    </r>
  </si>
  <si>
    <t>The VGBC would also like to thank its generous and valuable members (as of August 2019):</t>
  </si>
  <si>
    <t>BSBG Vietnam</t>
  </si>
  <si>
    <t>CC-1 Mekong</t>
  </si>
  <si>
    <t>CTA Manufacturing Development Construction Materials JSC</t>
  </si>
  <si>
    <t>Đăng Việt Electromechanical Corporation</t>
  </si>
  <si>
    <t>DBplus</t>
  </si>
  <si>
    <t>Gritone Co., Ltd</t>
  </si>
  <si>
    <t xml:space="preserve">Indochine Engineering </t>
  </si>
  <si>
    <t>Kirby South East Asia Co., Ltd.</t>
  </si>
  <si>
    <t>Mapei Vietnam Ltd.</t>
  </si>
  <si>
    <t>NEWTECONS Investment Construction and Real Estate JSC</t>
  </si>
  <si>
    <t>NN Service &amp; Trading Co., Ltd</t>
  </si>
  <si>
    <t>SOL ASIA PROPERTY CO., LTD</t>
  </si>
  <si>
    <t>Sonacons Construction JSC</t>
  </si>
  <si>
    <t>Tan Phat Long Engineering Corporation</t>
  </si>
  <si>
    <t>TPI Development Co., Ltd.</t>
  </si>
  <si>
    <t>Tuan Le Construction Co. Ltd</t>
  </si>
  <si>
    <t>Unicons Investment Construction Co., Ltd.</t>
  </si>
  <si>
    <t>Vietnam Investment Consulting and Construction Designing JSC</t>
  </si>
  <si>
    <t>Vuong Hai Corporation</t>
  </si>
  <si>
    <t>• Metering, monitoring and control systems</t>
  </si>
  <si>
    <t xml:space="preserve">• Renewable energy systems </t>
  </si>
  <si>
    <t>• Copy of the OPR and the BOD</t>
  </si>
  <si>
    <t>• Plans and elevations outlining occupied spaces, daylit areas and indicating all glazing areas</t>
  </si>
  <si>
    <t>• Photographs showing glazing areas and spaces with daylighting</t>
  </si>
  <si>
    <t>LOTUS Small Interiors is part of the LOTUS Rating Systems 'family' which includes LOTUS New Construction, LOTUS Buildings in Operation, LOTUS Homes, LOTUS Small Buildings and LOTUS Interiors.</t>
  </si>
  <si>
    <t>Submit the completed User Tool by email to: certification@vgbc.vn</t>
  </si>
  <si>
    <t>Documents are clearly named with a reference to the credit (for example, E-1 - Manufacturer's data of HVAC system, E-2 - Interior lighting drawings)</t>
  </si>
  <si>
    <r>
      <rPr>
        <b/>
        <sz val="10"/>
        <rFont val="Arial"/>
        <family val="2"/>
      </rPr>
      <t>Performance Path</t>
    </r>
    <r>
      <rPr>
        <sz val="10"/>
        <rFont val="Arial"/>
        <family val="2"/>
      </rPr>
      <t xml:space="preserve">
In comparison to QCVN 09:2017/BXD requirements, 1 point is awarded for every:
20% improvement of CSPF for non-ducted air-conditioners 
-AND- 10% improvement of COP for other types of direct electric air-conditioners 
-AND- 5% improvement of COP for chillers with cooling capacity under 1055 kW
-AND- 3% improvement of COP for chillers with cooling capacity above 1055 kW</t>
    </r>
  </si>
  <si>
    <r>
      <rPr>
        <b/>
        <sz val="10"/>
        <rFont val="Arial"/>
        <family val="2"/>
      </rPr>
      <t>Prescriptive Path</t>
    </r>
    <r>
      <rPr>
        <sz val="10"/>
        <rFont val="Arial"/>
        <family val="2"/>
      </rPr>
      <t xml:space="preserve">
For 1 point, all air-conditioners have at least 4 stars in the energy labelling program of VNEEP 
For 2 points, all air-conditioners have at least 5 stars in the energy labelling program of VNEEP 
For 3 points, all air-conditioners have CPSF values above 4.5 
For 4 points, all air-conditioners have CPSF values above 5.5</t>
    </r>
  </si>
  <si>
    <t xml:space="preserve">This strategy cannot be followed by projects that are served only by non-ducted air-conditioners with cooling capacity under 12 kW. </t>
  </si>
  <si>
    <t>Variable control strategies</t>
  </si>
  <si>
    <t>Compliant variable controls ?</t>
  </si>
  <si>
    <r>
      <rPr>
        <b/>
        <sz val="10"/>
        <rFont val="Calibri"/>
        <family val="2"/>
      </rPr>
      <t>→</t>
    </r>
    <r>
      <rPr>
        <b/>
        <sz val="10"/>
        <rFont val="Arial"/>
        <family val="2"/>
      </rPr>
      <t xml:space="preserve"> </t>
    </r>
    <r>
      <rPr>
        <b/>
        <u/>
        <sz val="10"/>
        <rFont val="Arial"/>
        <family val="2"/>
      </rPr>
      <t>Variable controls</t>
    </r>
    <r>
      <rPr>
        <b/>
        <sz val="10"/>
        <rFont val="Arial"/>
        <family val="2"/>
      </rPr>
      <t>:</t>
    </r>
  </si>
  <si>
    <t>• Technical data and/or photographs showing the number of stars under VNEEP labelling and the CSPF value of the air-conditioning units installed</t>
  </si>
  <si>
    <t>Select and install air-conditioners that are labelled under the energy label developed by VNEEP and the Ministry of Industry and Trade and that have high CSPF values.</t>
  </si>
  <si>
    <t>Only projects that are served only by non-ducted air-conditioners with cooling capacity under 12 kW can follow the Prescriptive Path.</t>
  </si>
  <si>
    <t>CSPF value</t>
  </si>
  <si>
    <t>CSPF values</t>
  </si>
  <si>
    <t>Complete the table below with information on all the non-ducted air-conditioners installed in the project space:</t>
  </si>
  <si>
    <t>Incomplete info?</t>
  </si>
  <si>
    <t>non-ducted AC or Direct AC or chiller</t>
  </si>
  <si>
    <t>Strategy A: Lighting power density</t>
  </si>
  <si>
    <t xml:space="preserve">Provide a sufficiently sized dedicated recycling storage area with bins for the collection, separation and storage of recyclables. </t>
  </si>
  <si>
    <t>Reply to all the questions below on the dedicated recycling storage area:</t>
  </si>
  <si>
    <t>Provide a narrative describing recyclable waste generation, size/volume of the storage spaces, frequency of recycling pick-up:</t>
  </si>
  <si>
    <t>Compliant dedicated recycling storage area?</t>
  </si>
  <si>
    <t>• Photographs showing the dedicated recycling storage area, the storage spaces and the signs indicating the storage area and the storage spaces.</t>
  </si>
  <si>
    <r>
      <rPr>
        <b/>
        <sz val="10"/>
        <rFont val="Arial"/>
        <family val="2"/>
      </rPr>
      <t>Strategy B: Dedicated recycling storage area</t>
    </r>
    <r>
      <rPr>
        <sz val="10"/>
        <rFont val="Arial"/>
        <family val="2"/>
      </rPr>
      <t xml:space="preserve">
Provide a dedicated recycling storage area for use by all project occupants</t>
    </r>
  </si>
  <si>
    <r>
      <rPr>
        <b/>
        <sz val="10"/>
        <color rgb="FF984806"/>
        <rFont val="Arial"/>
        <family val="2"/>
      </rPr>
      <t xml:space="preserve">Basis of Design (BOD) </t>
    </r>
    <r>
      <rPr>
        <sz val="10"/>
        <rFont val="Arial"/>
        <family val="2"/>
      </rPr>
      <t>- Document that records the concepts, calculations, decisions, and product selections used to meet the Owner’s Project Requirements and to satisfy applicable regulatory requirements, standards, and guidelines. The document includes both narrative descriptions and specific assumptions made by the designers.</t>
    </r>
  </si>
  <si>
    <r>
      <rPr>
        <b/>
        <sz val="10"/>
        <color rgb="FF984806"/>
        <rFont val="Arial"/>
        <family val="2"/>
      </rPr>
      <t>Cooling Seasonal Performance Factor (CSPF)</t>
    </r>
    <r>
      <rPr>
        <sz val="10"/>
        <rFont val="Arial"/>
        <family val="2"/>
      </rPr>
      <t xml:space="preserve"> - As defined in ISO 5151, CSPF is the ratio of the total annual amount of heat that the equipment can remove from the indoor air when operated for cooling in active mode to the total annual amount of energy consumed by the equipment during the same period. Unlike COP that represents the efficiency of an equipment at given conditions, CSPF represents the efficiency over a full year of operation.</t>
    </r>
  </si>
  <si>
    <r>
      <rPr>
        <b/>
        <sz val="10"/>
        <color rgb="FF984806"/>
        <rFont val="Arial"/>
        <family val="2"/>
      </rPr>
      <t xml:space="preserve">LPD (Lighting Power Density) </t>
    </r>
    <r>
      <rPr>
        <sz val="10"/>
        <rFont val="Arial"/>
        <family val="2"/>
      </rPr>
      <t>– The ratio of lighting power to the illuminated area, measured in W/m2.</t>
    </r>
  </si>
  <si>
    <r>
      <rPr>
        <b/>
        <sz val="10"/>
        <color rgb="FF984806"/>
        <rFont val="Arial"/>
        <family val="2"/>
      </rPr>
      <t xml:space="preserve">Non-ducted air-conditioners </t>
    </r>
    <r>
      <rPr>
        <sz val="10"/>
        <rFont val="Arial"/>
        <family val="2"/>
      </rPr>
      <t>- Also called ductless air-conditioners, they are standalone air-conditioning systems that do not employ any type of ductwork to move air from one space to another. The conditioned air is introduced into the room through an air handling unit installed within the room. This indoor unit is supplied with the necessary refrigerant through an outdoor unit, or is installed within the same package as the indoor unit.</t>
    </r>
  </si>
  <si>
    <r>
      <rPr>
        <b/>
        <sz val="10"/>
        <color rgb="FF984806"/>
        <rFont val="Arial"/>
        <family val="2"/>
      </rPr>
      <t xml:space="preserve">Owner’s Project Requirements (OPR) </t>
    </r>
    <r>
      <rPr>
        <sz val="10"/>
        <rFont val="Arial"/>
        <family val="2"/>
      </rPr>
      <t>- Written document that details the functional requirements of a project and the expectations of how it will be used and operated. This includes project and design goals, measurable performance criteria, budgets, schedules, success criteria, owner’s directives, and supporting information.</t>
    </r>
  </si>
  <si>
    <r>
      <rPr>
        <b/>
        <sz val="10"/>
        <color rgb="FF984806"/>
        <rFont val="Arial"/>
        <family val="2"/>
      </rPr>
      <t>QCVN 09:2017/BXD -</t>
    </r>
    <r>
      <rPr>
        <sz val="10"/>
        <rFont val="Arial"/>
        <family val="2"/>
      </rPr>
      <t xml:space="preserve"> The Vietnam Building Energy Efficiency Code QCVN 09:2017/BXD is issued by the Ministry of Construction and is mandatory in Vietnam in order to help meet energy saving goals.</t>
    </r>
  </si>
  <si>
    <t>For 1 point, lighting power density (LPD) surpasses QCVN 09:2017/BXD requirements by 15%
1 point for every additional 15% improvement of the LPD compared to QCVN 09:2017/BXD requirements (up to 60%)</t>
  </si>
  <si>
    <t>Strategy B: Automatic lighting shut-off controls and space controls</t>
  </si>
  <si>
    <t>Project meets QCVN 09:2017/BXD requirements on lighting controls</t>
  </si>
  <si>
    <t>Strategy C: Additional lighting controls</t>
  </si>
  <si>
    <t>Install a master main switch and task lighting</t>
  </si>
  <si>
    <t xml:space="preserve">Strategy A: Lighting power density </t>
  </si>
  <si>
    <r>
      <rPr>
        <b/>
        <sz val="10"/>
        <rFont val="Arial"/>
        <family val="2"/>
      </rPr>
      <t>Reduce the power associated with the use of artificial lighting systems.</t>
    </r>
    <r>
      <rPr>
        <sz val="10"/>
        <rFont val="Arial"/>
        <family val="2"/>
      </rPr>
      <t xml:space="preserve">
Lighting power density (LPD) in the project space should be lower than the maximum values set in Table E.1.</t>
    </r>
  </si>
  <si>
    <t>Building types / space types</t>
  </si>
  <si>
    <t xml:space="preserve">Building types </t>
  </si>
  <si>
    <t xml:space="preserve">Library </t>
  </si>
  <si>
    <t>Building / Space types *</t>
  </si>
  <si>
    <t xml:space="preserve">Convention center </t>
  </si>
  <si>
    <t xml:space="preserve">Healthcare clinic </t>
  </si>
  <si>
    <t xml:space="preserve">Storage </t>
  </si>
  <si>
    <t>Enclosed, in-house, parking space</t>
  </si>
  <si>
    <t>* Depending on the project, the “Building / Space types” may be considered as building types or space types within another building type (e.g. a library building or a library space within a school).</t>
  </si>
  <si>
    <r>
      <rPr>
        <i/>
        <sz val="10"/>
        <color rgb="FF58AB27"/>
        <rFont val="Arial"/>
        <family val="2"/>
      </rPr>
      <t>Table E.1</t>
    </r>
    <r>
      <rPr>
        <i/>
        <sz val="10"/>
        <rFont val="Arial"/>
        <family val="2"/>
      </rPr>
      <t>: Maximum LPD Values for different types of buildings / spaces 
(Source: Adapted from QCVN 09:2017/BXD Table 2.5)</t>
    </r>
  </si>
  <si>
    <t>Meet all the following requirements on lighting control adapted from QCVN 09:2017/BXD:</t>
  </si>
  <si>
    <t xml:space="preserve">Automatic lighting shutoff controls should be installed to turn lighting off in all separate spaces (spaces enclosed with ceiling-height partitions) when not needed. </t>
  </si>
  <si>
    <t>The automatic lighting shutoff controls can be either:</t>
  </si>
  <si>
    <t>• Timer controls functioning on a schedule basis that should turn off lighting at specific programmed times. 
   → One timer control cannot be used for areas of more than 2500 m2 or for more than one floor. 
   → Timer controls should be programmed to account for weekends and holidays.
   → Some localized override controls should be installed where lighting may be needed beyond the scheduled period.</t>
  </si>
  <si>
    <t>• Motion sensors (perceiving walking movements) or presence sensors (perceiving fine movement in sit down position) that should turn lighting off within 30 minutes of an occupant leaving a space</t>
  </si>
  <si>
    <t>• Time delay switches, which are activated manually and that should automatically switch off within 30 minutes.</t>
  </si>
  <si>
    <t>• A signal from another control or alarm system that indicates the area is unoccupied and that lighting should be turned off</t>
  </si>
  <si>
    <t>This requirement is not applicable to spaces with lighting intended for 24-hour operation, as well as spaces with special requirements for safety and security.</t>
  </si>
  <si>
    <t>Strategy C: Additional controls</t>
  </si>
  <si>
    <t xml:space="preserve">Install a master main switch which can turn off all the lighting systems at the same time. It should be located next to the main staff entry for the project space. </t>
  </si>
  <si>
    <t>Compliant main switch?</t>
  </si>
  <si>
    <r>
      <t xml:space="preserve">• </t>
    </r>
    <r>
      <rPr>
        <b/>
        <u/>
        <sz val="10"/>
        <rFont val="Arial"/>
        <family val="2"/>
      </rPr>
      <t>Master main switch</t>
    </r>
  </si>
  <si>
    <t>• be activated either manually by an occupant or automatically by sensing an occupant</t>
  </si>
  <si>
    <t>• cover a maximum area of 250 m2 for a space area of 1,000 m2 or less</t>
  </si>
  <si>
    <t>• cover a maximum area of 1,000 m2 for a space area greater than 1,000 m2</t>
  </si>
  <si>
    <t>- AND/OR -</t>
  </si>
  <si>
    <t>→ The system should have a COP value higher than QCVN 09:2017/BXD requirements</t>
  </si>
  <si>
    <t>QCVN 09:2017/BXD  COP requirements</t>
  </si>
  <si>
    <r>
      <rPr>
        <b/>
        <sz val="10"/>
        <rFont val="Arial"/>
        <family val="2"/>
      </rPr>
      <t>E-BPC-2 Water Heating</t>
    </r>
    <r>
      <rPr>
        <sz val="10"/>
        <rFont val="Arial"/>
        <family val="2"/>
      </rPr>
      <t xml:space="preserve">
Use solar water heating and/or heat pump water heating systems to produce the domestic hot water</t>
    </r>
  </si>
  <si>
    <t>Select a properly sized heat pump water heating system with a COP value higher than QCVN 09:2017/BXD  requirements.</t>
  </si>
  <si>
    <r>
      <rPr>
        <b/>
        <sz val="11"/>
        <rFont val="Calibri"/>
        <family val="2"/>
        <scheme val="minor"/>
      </rPr>
      <t xml:space="preserve">• </t>
    </r>
    <r>
      <rPr>
        <b/>
        <sz val="11"/>
        <color rgb="FF5F4970"/>
        <rFont val="Calibri"/>
        <family val="2"/>
        <scheme val="minor"/>
      </rPr>
      <t>Materials &amp; Resources (MR)</t>
    </r>
    <r>
      <rPr>
        <b/>
        <sz val="11"/>
        <rFont val="Calibri"/>
        <family val="2"/>
        <scheme val="minor"/>
      </rPr>
      <t xml:space="preserve"> </t>
    </r>
    <r>
      <rPr>
        <sz val="11"/>
        <rFont val="Calibri"/>
        <family val="2"/>
        <scheme val="minor"/>
      </rPr>
      <t>- To reduce the use of high embodied energy materials and to minimize the use of natural resources.</t>
    </r>
  </si>
  <si>
    <r>
      <rPr>
        <b/>
        <sz val="11"/>
        <rFont val="Calibri"/>
        <family val="2"/>
        <scheme val="minor"/>
      </rPr>
      <t>•</t>
    </r>
    <r>
      <rPr>
        <b/>
        <sz val="11"/>
        <color rgb="FF76923C"/>
        <rFont val="Calibri"/>
        <family val="2"/>
        <scheme val="minor"/>
      </rPr>
      <t xml:space="preserve"> Site &amp; Environment (SE)</t>
    </r>
    <r>
      <rPr>
        <sz val="11"/>
        <rFont val="Calibri"/>
        <family val="2"/>
        <scheme val="minor"/>
      </rPr>
      <t xml:space="preserve"> - To protect the ecology of the site, mitigate the environmental impacts and minimize pollution.</t>
    </r>
  </si>
  <si>
    <r>
      <t xml:space="preserve">• </t>
    </r>
    <r>
      <rPr>
        <b/>
        <sz val="11"/>
        <color rgb="FFFFC000"/>
        <rFont val="Calibri"/>
        <family val="2"/>
        <scheme val="minor"/>
      </rPr>
      <t xml:space="preserve">Exceptional Performance (EP) </t>
    </r>
    <r>
      <rPr>
        <sz val="11"/>
        <rFont val="Calibri"/>
        <family val="2"/>
        <scheme val="minor"/>
      </rPr>
      <t>- To reward enhanced performance and innovative solutions not addressed in LOTUS.</t>
    </r>
  </si>
  <si>
    <t>Appeal Procedure</t>
  </si>
  <si>
    <t>After the assessment report from Round 2 is received, in the case that the Applicant is still not satisfied with the results, a procedure is available to appeal the outcome of a maximum of 5
credits (additional appeals levy extra costs). Further evidence should be provided to demonstrate how appealed credits have finally been achieved.</t>
  </si>
  <si>
    <t>The following rules and conditions apply:</t>
  </si>
  <si>
    <t xml:space="preserve">• The Appeal should be submitted in writing to the Assessment Organization within 30 calendar days after receiving the assessment report from Round 2.
• Appeal submissions will be reviewed by the Assessment Organization. Results will be issued within 20 working days after the reception of submissions. </t>
  </si>
  <si>
    <t>Certification</t>
  </si>
  <si>
    <t>The LOTUS Small Interiors Certificate will be issued by the VGBC upon successful completion of the assessment.
For projects which couldn’t demonstrate compliance with enough credit criteria to reach a total of 24 points, LOTUS Certification cannot be awarded. 
For other projects, they will be issued with LOTUS Certified, LOTUS Silver, LOTUS Gold or LOTUS Platinum Certificates depending on the number of points achieved as shown in Section 5.</t>
  </si>
  <si>
    <t>• LOTUS Small Interiors V2 - User Tool</t>
  </si>
  <si>
    <t xml:space="preserve">For any enquiries about LOTUS Small Interiors, please contact VGBC at: </t>
  </si>
  <si>
    <t>certification@vgbc.vn</t>
  </si>
  <si>
    <t>LOTUS Small Interiors includes 27 different credits and 10 best practice (bonus) credits.</t>
  </si>
  <si>
    <t>Consistent information throughout the credits (for example, same information input on lighting fixtures in credit E-2 Artificial Lighting and Credit H-BPC-2 Lighting Comfort)</t>
  </si>
  <si>
    <t>Exceptional Performance</t>
  </si>
  <si>
    <t xml:space="preserve">EP-1 Enhanced Performance </t>
  </si>
  <si>
    <t>EP-2 Innovative Solutions</t>
  </si>
  <si>
    <t>EP-2</t>
  </si>
  <si>
    <t>EP-1</t>
  </si>
  <si>
    <t>Implement innovative and environmentally friendly solutions that are not considered in the scope of LOTUS Small Interiors</t>
  </si>
  <si>
    <t>Enhanced Performance</t>
  </si>
  <si>
    <t xml:space="preserve">There are two different cases where Enhanced Performance points can be awarded: </t>
  </si>
  <si>
    <t>Case 2: In a credit with different strategies available, the building performance reaches a higher number of points than what is available in the credit. (See Table EP.2 in Technical Manual)</t>
  </si>
  <si>
    <t xml:space="preserve">Case 1: In a credit with two or more performance increments, the building performance exceeds the maximum credit requirement by an additional increment. (See Table EP.1 in Technical Manual)
</t>
  </si>
  <si>
    <t>MR-3</t>
  </si>
  <si>
    <t>MR-4</t>
  </si>
  <si>
    <t>MR-2</t>
  </si>
  <si>
    <t>MR-1</t>
  </si>
  <si>
    <t>Materials &amp; Resources</t>
  </si>
  <si>
    <t>To reduce the use of high embodied energy materials and to minimize the use of natural resources.</t>
  </si>
  <si>
    <t>MR-3 Fit-out Waste</t>
  </si>
  <si>
    <t>MR-4 Operation Waste Management</t>
  </si>
  <si>
    <t>MR-1 Sustainable Materials</t>
  </si>
  <si>
    <t>MR-2 Sustainable Furniture Products</t>
  </si>
  <si>
    <t>SE-4 Refrigerants</t>
  </si>
  <si>
    <t>Click on the links on 
the right to navigate to 
other SE credits</t>
  </si>
  <si>
    <t>SE-1</t>
  </si>
  <si>
    <t>SE-1 Green base building</t>
  </si>
  <si>
    <t>Site &amp; Environment</t>
  </si>
  <si>
    <t>To protect the ecology of the site, mitigate the environmental
impacts and minimize pollution.</t>
  </si>
  <si>
    <r>
      <t xml:space="preserve">• </t>
    </r>
    <r>
      <rPr>
        <b/>
        <sz val="10"/>
        <color rgb="FF76923C"/>
        <rFont val="Arial"/>
        <family val="2"/>
      </rPr>
      <t>Ozone depletion potential (ODP)</t>
    </r>
    <r>
      <rPr>
        <sz val="10"/>
        <rFont val="Arial"/>
        <family val="2"/>
      </rPr>
      <t xml:space="preserve"> is a relative measure indicating the potential of a substance to destroy ozone gas.</t>
    </r>
  </si>
  <si>
    <r>
      <t xml:space="preserve">• </t>
    </r>
    <r>
      <rPr>
        <b/>
        <sz val="10"/>
        <color rgb="FF76923C"/>
        <rFont val="Arial"/>
        <family val="2"/>
      </rPr>
      <t>Global warming potential (GWP)</t>
    </r>
    <r>
      <rPr>
        <sz val="10"/>
        <rFont val="Arial"/>
        <family val="2"/>
      </rPr>
      <t xml:space="preserve"> is a relative measure of how much heat a greenhouse gas traps in the atmosphere. Commonly, the 100-year time horizon global warming potential (GWP</t>
    </r>
    <r>
      <rPr>
        <vertAlign val="subscript"/>
        <sz val="10"/>
        <rFont val="Arial"/>
        <family val="2"/>
      </rPr>
      <t>100</t>
    </r>
    <r>
      <rPr>
        <sz val="10"/>
        <rFont val="Arial"/>
        <family val="2"/>
      </rPr>
      <t>) is used.</t>
    </r>
  </si>
  <si>
    <r>
      <t xml:space="preserve">• </t>
    </r>
    <r>
      <rPr>
        <b/>
        <sz val="10"/>
        <color rgb="FF76923C"/>
        <rFont val="Arial"/>
        <family val="2"/>
      </rPr>
      <t>CFC refrigerants</t>
    </r>
    <r>
      <rPr>
        <sz val="10"/>
        <rFont val="Arial"/>
        <family val="2"/>
      </rPr>
      <t xml:space="preserve"> are refrigerants that contribute to ozone depletion. The manufacture of CFC refrigerants has been phased out under the Montreal Protocol in 1987.</t>
    </r>
  </si>
  <si>
    <r>
      <t xml:space="preserve">• </t>
    </r>
    <r>
      <rPr>
        <b/>
        <sz val="10"/>
        <color rgb="FF76923C"/>
        <rFont val="Arial"/>
        <family val="2"/>
      </rPr>
      <t>Commercial refrigeration</t>
    </r>
    <r>
      <rPr>
        <sz val="10"/>
        <rFont val="Arial"/>
        <family val="2"/>
      </rPr>
      <t xml:space="preserve"> equipment includes the following: walk-in refrigerators, walk-in freezers and refrigerated caseworks.</t>
    </r>
  </si>
  <si>
    <t>SE-BPC-1 Facilities and amenities for occupants</t>
  </si>
  <si>
    <t>SE-2 Tenancy lease</t>
  </si>
  <si>
    <t xml:space="preserve">SE-3 Green Transportation </t>
  </si>
  <si>
    <t>• Nursery provisions / childcare rooms</t>
  </si>
  <si>
    <t xml:space="preserve">SE-4 Refrigerants </t>
  </si>
  <si>
    <r>
      <rPr>
        <i/>
        <sz val="10"/>
        <color rgb="FF76923C"/>
        <rFont val="Arial"/>
        <family val="2"/>
      </rPr>
      <t>Table SE.1</t>
    </r>
    <r>
      <rPr>
        <i/>
        <sz val="10"/>
        <rFont val="Arial"/>
        <family val="2"/>
      </rPr>
      <t>: List of some selected refrigerants that have a limited atmospheric impact (values from IPCC Fifth Assessment Report 2013)</t>
    </r>
  </si>
  <si>
    <r>
      <rPr>
        <i/>
        <sz val="10"/>
        <color rgb="FF76923C"/>
        <rFont val="Arial"/>
        <family val="2"/>
      </rPr>
      <t>Table SE.2</t>
    </r>
    <r>
      <rPr>
        <i/>
        <sz val="10"/>
        <color rgb="FF4A562A"/>
        <rFont val="Arial"/>
        <family val="2"/>
      </rPr>
      <t xml:space="preserve">: </t>
    </r>
    <r>
      <rPr>
        <i/>
        <sz val="10"/>
        <rFont val="Arial"/>
        <family val="2"/>
      </rPr>
      <t>Recommended Lifetime values for different types of equipment (Source: ASHRAE Applications Handbook, 2007)</t>
    </r>
  </si>
  <si>
    <t>Innovative Solutions</t>
  </si>
  <si>
    <t>SE-4</t>
  </si>
  <si>
    <t>SE-2</t>
  </si>
  <si>
    <t>SE-3</t>
  </si>
  <si>
    <t>LOTUS Small Interiors V2 Scorecard</t>
  </si>
  <si>
    <t>Click on the links on 
the right to navigate to 
other M&amp;R credits</t>
  </si>
  <si>
    <t>M&amp;R</t>
  </si>
  <si>
    <t>S&amp;E</t>
  </si>
  <si>
    <t>EP</t>
  </si>
  <si>
    <t>SE-3 Green Transportation</t>
  </si>
  <si>
    <t>SE-BPC-1 Facilities and amenities</t>
  </si>
  <si>
    <t>SE-BPC</t>
  </si>
  <si>
    <t xml:space="preserve">• Life = Equipment Life (default based on Table SE.2, unless otherwise demonstrated) </t>
  </si>
  <si>
    <t>At least, provide toilets, washing facilities, drinking water and one different type of site amenities for construction workers.</t>
  </si>
  <si>
    <t>• Evidence showing each strategy implemented to provide safety and welfare for construction
workers such as photographs, etc.</t>
  </si>
  <si>
    <t>• Evidence showing the provision of toilets, washing facilities, drinking water and one other site
amenities during construction such as photographs, etc.</t>
  </si>
  <si>
    <t>For centralized HVAC systems only:</t>
  </si>
  <si>
    <t>Only systems and equipment included in the scope of the interior project space must be considered in this credit. 
If possible, the project should encourage the base building to perform preventative maintenance for their systems serving the project space.</t>
  </si>
  <si>
    <t>• A description of the main design principles</t>
  </si>
  <si>
    <t>• List of maintenance operations that should be performed for all listed equipment</t>
  </si>
  <si>
    <t>• Frequency of the maintenance operations</t>
  </si>
  <si>
    <t>• Schedule indicating when each maintenance operations must be conducted for the whole year</t>
  </si>
  <si>
    <r>
      <rPr>
        <b/>
        <sz val="10"/>
        <color rgb="FF984806"/>
        <rFont val="Arial"/>
        <family val="2"/>
      </rPr>
      <t>Openable area of openings</t>
    </r>
    <r>
      <rPr>
        <sz val="10"/>
        <rFont val="Arial"/>
        <family val="2"/>
      </rPr>
      <t xml:space="preserve"> - The openable area (also sometimes referred to as free area, effective open area, operable area, etc.) of an opening represents the area through which outdoor air can flow. It depends on the size and the type of openings. In LOTUS, the openable area of an opening can be determined using 2 different methods:
• It can be calculated as the total area of the opening (area of fixed frames should be deducted) multiplied with the effective open area coefficient of the opening set as:
- 100% for openings with no windows/doors,
- 90% for side-hung openings (that open outwards and/or inwards) with no restrictors,
- 75% for jalousie windows (louvered windows),
- 75% for awnings (top-hung windows that open outward, away from the building),
- 50% for openings with fixed louvers,
- 45% for hoppers (bottom-hung windows that open inward, into the building)
- 45% for horizontal sliding openings.
• Or, it can be calculated using geometry to determine the net free unobstructed area of the opening through which outdoor air can flow.</t>
    </r>
  </si>
  <si>
    <t>Materials &amp; Resources Glossary</t>
  </si>
  <si>
    <t>For 1 point, 10% of the total value of furniture products in the project are sustainable products
1 point for every additional 10% of the total value of furniture products in the project which are sustainable products (up to 40%)</t>
  </si>
  <si>
    <t>For 1 point, 10% of the total value of materials in the project are sustainable materials
1 point for every additional 10% of the total value of materials in the project that are sustainable materials (up to 40%)</t>
  </si>
  <si>
    <t>• Evidence showing that the materials are sustainable such as photographs, manufacturer’s data, certificates, test reports, letter from manufacturer, etc.</t>
  </si>
  <si>
    <t>• Evidence showing that the materials were installed such as photographs, invoices, receipts, etc.</t>
  </si>
  <si>
    <t>• Evidence showing that the furniture items are sustainable such as photographs, manufacturer’s data, certificates, test reports, letter from manufacturer, etc.</t>
  </si>
  <si>
    <t>• Evidence showing that the furniture items were installed such as photographs, invoices, receipts, etc.</t>
  </si>
  <si>
    <t>MR-3 Strategy A</t>
  </si>
  <si>
    <t>MR-3 Strategy AB</t>
  </si>
  <si>
    <t>MR-4 Strategy A</t>
  </si>
  <si>
    <t>MR-4 Strategy B</t>
  </si>
  <si>
    <t>SE-4 Option A</t>
  </si>
  <si>
    <t>SE-4 Option B</t>
  </si>
  <si>
    <t>SE-4 Option C</t>
  </si>
  <si>
    <t>• Light occupancy sensors to automatically turn lights on and off based on occupancy in conference rooms, passageways, bathrooms, hallways, entryways, etc.</t>
  </si>
  <si>
    <t>• Automated shadings to optimize the use of daylight and minimize solar heat gains</t>
  </si>
  <si>
    <r>
      <t>To receive sufficient fresh air supply through natural ventilation, an occupied room must:
• be within 8 meters of (and permanently open to) an operable wall or roof opening
• have a total openable area of wall and roof openings (c.f. definition of the openable area of openings in Glossary of Technical Terms) of at least 4% of the floor area of the room.
An occupied room without direct openings to the outdoors can be naturally ventilated through adjoining rooms if the unobstructed openings between the rooms are at least 8% of the floor area (with a minimum of 2.3 m</t>
    </r>
    <r>
      <rPr>
        <vertAlign val="superscript"/>
        <sz val="10"/>
        <rFont val="Arial"/>
        <family val="2"/>
      </rPr>
      <t>2</t>
    </r>
    <r>
      <rPr>
        <sz val="10"/>
        <rFont val="Arial"/>
        <family val="2"/>
      </rPr>
      <t>).</t>
    </r>
  </si>
  <si>
    <r>
      <t>Total openable area of the openings (m</t>
    </r>
    <r>
      <rPr>
        <vertAlign val="superscript"/>
        <sz val="10"/>
        <color indexed="9"/>
        <rFont val="Arial"/>
        <family val="2"/>
      </rPr>
      <t>2</t>
    </r>
    <r>
      <rPr>
        <sz val="10"/>
        <color indexed="9"/>
        <rFont val="Arial"/>
        <family val="2"/>
      </rPr>
      <t>)</t>
    </r>
  </si>
  <si>
    <t>• are certified/labelled as low-VOC products by an internationally or regionally recognized authority such as Singapore Green Label, GREENGUARD, Global Green Tag, Green Seal, SCS Indoor Advantage. Other labels/certificates shall be subject to VGBC approval.</t>
  </si>
  <si>
    <t xml:space="preserve">• or, have a VOC content lower than the limits set in any internationally or regionally recognized regulation (e.g. South Coast Air Quality Management District Rule 1113 or Rule 1168, Hong Kong Air Pollution Control VOC Regulation, California Air Resources Board, etc.). The VOC content shall be demonstrated with laboratory test results following relevant test methods such as US EPA Reference Method 24 or EN 16516. </t>
  </si>
  <si>
    <t>Are considered low-VOC emission products, the products which either:</t>
  </si>
  <si>
    <t>Are considered as low-formaldehyde emission products, the products which either:</t>
  </si>
  <si>
    <t>• are certified/labelled as low-formaldehyde products by an internationally or regionally recognized authority such as Singapore Green Label, GREENGUARD, Global Green Tag,
Green Seal, SCS Indoor Advantage, CARB Phase 2. Other labels/certificates shall be subject to VGBC approval.</t>
  </si>
  <si>
    <t>• or, do not contain any added UF resin and PF resin</t>
  </si>
  <si>
    <t>• or, do not exceed a concentration limit of 0.05 ppm of formaldehyde (0.06 mg/m2.h when expressed as emission rate) as tested following an internationally recognised standard</t>
  </si>
  <si>
    <t>• or, are salvaged and reused with more than one year old at the time of use, provided that the finishing products (paints, coatings, adhesives, and sealants) used, if any, are low-VOC
emission products.</t>
  </si>
  <si>
    <t>• or, are compliant with CDPH Standard Method Version V1.1 - 2010 or CDPH/EHLB Standard Method V1.2 - 2017 using the applicable exposure scenario</t>
  </si>
  <si>
    <t>• or, are inherently non-emitting VOC (stone, ceramic, powder-coated metal, plated metal, anodized metal, glass, concrete, clay brick, and unfinished/untreated solid wood)</t>
  </si>
  <si>
    <t>Epoxy floor coatings should be considered in this strategy but composite wood floorings
should be considered under Strategy C: Composite wood.</t>
  </si>
  <si>
    <t>Install low-VOC emission interior paints and coatings</t>
  </si>
  <si>
    <t xml:space="preserve">Install low-VOC emission interior adhesives and sealants. </t>
  </si>
  <si>
    <t xml:space="preserve">Install low-VOC emission flooring products and systems. </t>
  </si>
  <si>
    <t>Install composite wood products which are low-formaldehyde emission products and use adhesives with no added urea-formaldehyde to fabricate assemblies.</t>
  </si>
  <si>
    <t>Install low-VOC emission ceiling, partition and insulation</t>
  </si>
  <si>
    <t>Scope</t>
  </si>
  <si>
    <t>All occupied spaces should be considered in this credit, except auditoriums and conference rooms dedicated to video conferencing that are not compatible with the provision of daylight. Other space types not compatible with the provision of daylight may be exempted from the credit, but this shall be subject to VGBC approval.</t>
  </si>
  <si>
    <t>All occupied spaces should be considered in this credit, except theaters, auditoriums, conference rooms dedicated to video conferencing and gymnasiums that are not compatible with the provision of external views. Other space types not compatible with the provision of external views may be exempted from the credit, but this shall be subject to VGBC approval.</t>
  </si>
  <si>
    <t>To qualify as an area with quality views, all the locations within the area must be within 8 meters of an external view and must present at least two of the following features that improve the quality of the views:</t>
  </si>
  <si>
    <t>Maximum distance from an external view (m)</t>
  </si>
  <si>
    <t xml:space="preserve">- requirements on natural ventilation of the Performance Path in Strategy A of Credit E-1 are met </t>
  </si>
  <si>
    <t xml:space="preserve">H-BPC-1 Indoor Air Quality </t>
  </si>
  <si>
    <r>
      <rPr>
        <b/>
        <sz val="10"/>
        <rFont val="Arial"/>
        <family val="2"/>
      </rPr>
      <t>Strategy A: Pre-occupancy removal of pollutants</t>
    </r>
    <r>
      <rPr>
        <sz val="10"/>
        <rFont val="Arial"/>
        <family val="2"/>
      </rPr>
      <t xml:space="preserve">
Perform a flush-out procedure prior to occupancy - OR -
Ensure that all the air supply ductworks have been cleaned prior to occupancy</t>
    </r>
  </si>
  <si>
    <r>
      <rPr>
        <b/>
        <sz val="10"/>
        <rFont val="Arial"/>
        <family val="2"/>
      </rPr>
      <t>Strategy B: CO</t>
    </r>
    <r>
      <rPr>
        <b/>
        <vertAlign val="subscript"/>
        <sz val="10"/>
        <rFont val="Arial"/>
        <family val="2"/>
      </rPr>
      <t>2</t>
    </r>
    <r>
      <rPr>
        <b/>
        <sz val="10"/>
        <rFont val="Arial"/>
        <family val="2"/>
      </rPr>
      <t xml:space="preserve"> monitoring</t>
    </r>
    <r>
      <rPr>
        <sz val="10"/>
        <rFont val="Arial"/>
        <family val="2"/>
      </rPr>
      <t xml:space="preserve">
Install a CO</t>
    </r>
    <r>
      <rPr>
        <vertAlign val="subscript"/>
        <sz val="10"/>
        <rFont val="Arial"/>
        <family val="2"/>
      </rPr>
      <t>2</t>
    </r>
    <r>
      <rPr>
        <sz val="10"/>
        <rFont val="Arial"/>
        <family val="2"/>
      </rPr>
      <t xml:space="preserve"> monitoring system</t>
    </r>
  </si>
  <si>
    <r>
      <rPr>
        <b/>
        <sz val="10"/>
        <rFont val="Arial"/>
        <family val="2"/>
      </rPr>
      <t>Strategy C: Air filtration</t>
    </r>
    <r>
      <rPr>
        <sz val="10"/>
        <rFont val="Arial"/>
        <family val="2"/>
      </rPr>
      <t xml:space="preserve">
Install air filters on fresh air intakes</t>
    </r>
  </si>
  <si>
    <t>H-BPC-2 Lighting Comfort</t>
  </si>
  <si>
    <t>H-BPC-3 Acoustic Comfort</t>
  </si>
  <si>
    <t>H-BPC-4 Post-occupancy Comfort</t>
  </si>
  <si>
    <t>Strategy B: CO2 Monitoring</t>
  </si>
  <si>
    <t>H-BPC-1 Indoor Air Quality</t>
  </si>
  <si>
    <t>Strategy C: Air Filtration</t>
  </si>
  <si>
    <t>Strategy A: Pre-occupancy removal of pollutants</t>
  </si>
  <si>
    <t>Flush-out procedure</t>
  </si>
  <si>
    <t>Total H-BPC-1</t>
  </si>
  <si>
    <t>Clean air supply ductwork</t>
  </si>
  <si>
    <t>Install air filters on all the fresh air intakes to ensure that clean air is brought in the building.</t>
  </si>
  <si>
    <t>This strategy can only be followed by projects with 95% of the total net occupied area meeting the requirements for mechanically ventilated spaces set in credit H-1.</t>
  </si>
  <si>
    <t>• Projects located in Hanoi (with an annual average PM2.5 concentration of 43.4 μg/m3 in 2017 according to AirNow DOS) should install an air filtration level of MERV 16 or E10.</t>
  </si>
  <si>
    <t>• Projects located in industrial zones with coal power plants, in areas with a large number of brick kilns and inside a city other than Hanoi and Ho Chi Minh City should install an air filtration level of MERV 12 or F6.</t>
  </si>
  <si>
    <t>• For all other locations in Vietnam, an air filtration level of MERV 6 or G3 should be installed.</t>
  </si>
  <si>
    <t>Also, it is advised that supply air filters are equipped with on-board pressure sensors or filter change indicator that signal when filter requires replacement.</t>
  </si>
  <si>
    <t>Fresh air intake</t>
  </si>
  <si>
    <t xml:space="preserve">Mechanical equipment </t>
  </si>
  <si>
    <t>Reply to the questions and complete the table below with information on the fresh air intakes and air filters:</t>
  </si>
  <si>
    <t>Where is the project located?</t>
  </si>
  <si>
    <t>Name of the air filter installed</t>
  </si>
  <si>
    <t>Air filtration level</t>
  </si>
  <si>
    <t>• Buildings located in Hanoi (with an annual average PM2.5 concentration of 42.6 μg/m3 in 2017 according to AirNow DOS) should install an air filtration level of MERV 16, F9 (EN 779) or E10 (EN 1822).</t>
  </si>
  <si>
    <t>Compliant air filtration?</t>
  </si>
  <si>
    <t>H-BPC-1
Strategy A</t>
  </si>
  <si>
    <t>H-BPC-1
Strategy B</t>
  </si>
  <si>
    <t>H-BPC-1
Strategy C</t>
  </si>
  <si>
    <t>H-BPC-2</t>
  </si>
  <si>
    <t>H-BPC-43
Option A</t>
  </si>
  <si>
    <t>H-BPC-3
Option B</t>
  </si>
  <si>
    <t>H-BPC-3
Option A</t>
  </si>
  <si>
    <t>• Manufacturer's published data showing the air filtration level of the supply air filters installed</t>
  </si>
  <si>
    <t>• Evidence of the supply air filters installed, such as photographs, invoices, receipts, commissioning report, etc.</t>
  </si>
  <si>
    <t>EP-1 Enhanced Performance</t>
  </si>
  <si>
    <t xml:space="preserve">MR-1 </t>
  </si>
  <si>
    <t>SE-BPC-1</t>
  </si>
  <si>
    <t xml:space="preserve">Enhanced Performance </t>
  </si>
  <si>
    <t>Number of stars under energy label</t>
  </si>
  <si>
    <r>
      <rPr>
        <i/>
        <sz val="10"/>
        <color rgb="FF58AB27"/>
        <rFont val="Arial"/>
        <family val="2"/>
      </rPr>
      <t>Table E.4</t>
    </r>
    <r>
      <rPr>
        <i/>
        <sz val="10"/>
        <rFont val="Arial"/>
        <family val="2"/>
      </rPr>
      <t>: Minimum CSPF requirements for non-ducted air conditioners with capacity &lt; 12 kW
(Adapted from QCVN 09:2017/BXD Table 2.3)</t>
    </r>
  </si>
  <si>
    <r>
      <rPr>
        <i/>
        <sz val="10"/>
        <color rgb="FF58AB27"/>
        <rFont val="Arial"/>
        <family val="2"/>
      </rPr>
      <t>Table E.6</t>
    </r>
    <r>
      <rPr>
        <i/>
        <sz val="10"/>
        <rFont val="Arial"/>
        <family val="2"/>
      </rPr>
      <t>: Minimum COP Requirements for chillers 
(Adapted from QCVN 09:2017/BXD Table 2.4 and ASHRAE 90.1-2013 Table 6.8.1-3)</t>
    </r>
  </si>
  <si>
    <r>
      <rPr>
        <i/>
        <sz val="10"/>
        <color rgb="FF58AB27"/>
        <rFont val="Arial"/>
        <family val="2"/>
      </rPr>
      <t>Table E.5</t>
    </r>
    <r>
      <rPr>
        <i/>
        <sz val="10"/>
        <rFont val="Arial"/>
        <family val="2"/>
      </rPr>
      <t>: Minimum COP requirements for other types of direct expansion air-conditioners 
(Adapted from QCVN 09:2017/BXD Table 2.3 and ASHRAE 90.1-2013 Table 6.8.1-1)</t>
    </r>
  </si>
  <si>
    <t>Select and install HVAC equipment whose CSPF or COP values meet the minimum requirement values of Tables below.</t>
  </si>
  <si>
    <t>• HVAC systems installed and managed by the base building can be used for compliance as long as they serve the project space.</t>
  </si>
  <si>
    <t>For VRV/VRF systems, projects should input the total electric power input including the electric power of the outdoor unit and the electric power of the fans in the indoor units.</t>
  </si>
  <si>
    <t>• VRV/VRF systems should be considered as air-cooled air-conditioners and their efficiency should be compared to values in Table E.5</t>
  </si>
  <si>
    <t>CSPF of the unit</t>
  </si>
  <si>
    <t>Average CSPF:</t>
  </si>
  <si>
    <t>CSPF required by QCVN 09:2017/BXD</t>
  </si>
  <si>
    <t>CSPF required by VBEEC</t>
  </si>
  <si>
    <t>Average CSPF of air-conditioners</t>
  </si>
  <si>
    <t xml:space="preserve">Average CSPF required by QCVN 09:2017/BXD </t>
  </si>
  <si>
    <t>CSPF improvement (%)</t>
  </si>
  <si>
    <t>For non-ducted air conditioners :</t>
  </si>
  <si>
    <t xml:space="preserve">Complete the table below with information on all the non-ducted air conditioners with capacity &lt; 12 kW serving the project space (if any): </t>
  </si>
  <si>
    <t>COP required by QCVN 09:2017/BXD</t>
  </si>
  <si>
    <t>Average COP of air-conditioners</t>
  </si>
  <si>
    <t>Average COP required by QCVN 09:2017/BXD</t>
  </si>
  <si>
    <t>For direct expansion air-conditioners:</t>
  </si>
  <si>
    <t>COP improvement (%)</t>
  </si>
  <si>
    <t>Average COP of chillers</t>
  </si>
  <si>
    <t>Average COP required by QCVN</t>
  </si>
  <si>
    <t>For chillers with cooling capacity &lt; 1055 kW:</t>
  </si>
  <si>
    <t xml:space="preserve">non-ducted </t>
  </si>
  <si>
    <t>chillers &lt; 1055 kW</t>
  </si>
  <si>
    <t>chillers &gt; 1055 kW</t>
  </si>
  <si>
    <t>Validated?</t>
  </si>
  <si>
    <r>
      <t>³</t>
    </r>
    <r>
      <rPr>
        <sz val="10"/>
        <color theme="1"/>
        <rFont val="Arial"/>
        <family val="2"/>
      </rPr>
      <t xml:space="preserve"> 7 kW and </t>
    </r>
    <r>
      <rPr>
        <sz val="10"/>
        <color theme="1"/>
        <rFont val="Calibri"/>
        <family val="2"/>
      </rPr>
      <t>≤</t>
    </r>
    <r>
      <rPr>
        <sz val="10"/>
        <color theme="1"/>
        <rFont val="Arial"/>
        <family val="2"/>
      </rPr>
      <t xml:space="preserve"> 12 kW</t>
    </r>
  </si>
  <si>
    <t>CSPF/COP required by VBEEC</t>
  </si>
  <si>
    <r>
      <t>³</t>
    </r>
    <r>
      <rPr>
        <sz val="10"/>
        <color theme="1"/>
        <rFont val="Arial"/>
        <family val="2"/>
      </rPr>
      <t xml:space="preserve"> 70 kW to &lt; 223 kW</t>
    </r>
  </si>
  <si>
    <r>
      <t>³</t>
    </r>
    <r>
      <rPr>
        <sz val="10"/>
        <color theme="1"/>
        <rFont val="Arial"/>
        <family val="2"/>
      </rPr>
      <t xml:space="preserve"> 223 kW</t>
    </r>
  </si>
  <si>
    <t>&lt; 40 kW</t>
  </si>
  <si>
    <r>
      <t>&gt;=</t>
    </r>
    <r>
      <rPr>
        <sz val="10"/>
        <color theme="1"/>
        <rFont val="Arial"/>
        <family val="2"/>
      </rPr>
      <t xml:space="preserve"> 70 kW and &lt; 223 kW</t>
    </r>
  </si>
  <si>
    <r>
      <t>&gt;=</t>
    </r>
    <r>
      <rPr>
        <sz val="10"/>
        <color theme="1"/>
        <rFont val="Arial"/>
        <family val="2"/>
      </rPr>
      <t xml:space="preserve"> 223 kW</t>
    </r>
  </si>
  <si>
    <t>Water cooled chiller (positive displacement)</t>
  </si>
  <si>
    <t>&lt; 264 kW</t>
  </si>
  <si>
    <r>
      <rPr>
        <sz val="10"/>
        <color rgb="FF000000"/>
        <rFont val="Calibri"/>
        <family val="2"/>
      </rPr>
      <t>≥</t>
    </r>
    <r>
      <rPr>
        <sz val="10"/>
        <color rgb="FF000000"/>
        <rFont val="Arial"/>
        <family val="2"/>
      </rPr>
      <t xml:space="preserve"> 264 kW to &lt; 528 kW</t>
    </r>
  </si>
  <si>
    <t>≥ 528 kW to &lt; 1055 kW</t>
  </si>
  <si>
    <t>≥ 1055 kW</t>
  </si>
  <si>
    <t>&lt; 1055 kW</t>
  </si>
  <si>
    <t>≥ 1055 kW to &lt; 2110  kW</t>
  </si>
  <si>
    <t>≥ 2110  kW</t>
  </si>
  <si>
    <t>Cooling output chillers</t>
  </si>
  <si>
    <t>Cooling output DX</t>
  </si>
  <si>
    <t>DX AC, chiller &lt; 1055, chiller &gt; 1055</t>
  </si>
  <si>
    <t>chiller &lt; 1055 COP</t>
  </si>
  <si>
    <t>chiller &lt; 1055 cooling capacity</t>
  </si>
  <si>
    <t>chiller &lt; 1055 EEBC</t>
  </si>
  <si>
    <t>DX AC COP</t>
  </si>
  <si>
    <t>DX AC cooling capacity</t>
  </si>
  <si>
    <t>DX AC EEBC</t>
  </si>
  <si>
    <t>chiller &gt; 1055 COP</t>
  </si>
  <si>
    <t>chiller &gt; 1055 cooling capacity</t>
  </si>
  <si>
    <t>chiller &gt; 1055 EEBC</t>
  </si>
  <si>
    <t>For chillers with cooling capacity &gt; 1055 kW:</t>
  </si>
  <si>
    <t>DX AC</t>
  </si>
  <si>
    <t>• Schedule of all the HVAC equipment installed indicating CSPF/COP values</t>
  </si>
  <si>
    <t>• Manufacturer's data of the HVAC equipment installed indicating CSPF/COP values</t>
  </si>
  <si>
    <t xml:space="preserve">Complete the table below with information on all the other types of direct expansion air-conditioners and all the chillers serving the project space (if any): </t>
  </si>
  <si>
    <t xml:space="preserve">• Ventilation inlet: Inlet openings shall be placed on the windward side of the building. The total openable area of openings to the outside (inlet area) shall be no less than 5% of the floor area. These openings shall be readily accessible to occupants. The openable area of the openings should be calculated in accordance with the definition in the Glossary of Technical Terms. </t>
  </si>
  <si>
    <r>
      <t>• Evidence</t>
    </r>
    <r>
      <rPr>
        <sz val="10"/>
        <color rgb="FF000000"/>
        <rFont val="Arial"/>
        <family val="2"/>
      </rPr>
      <t xml:space="preserve"> of the lighting sensors and controls installed such as photographs, invoices, receipts, etc.</t>
    </r>
  </si>
  <si>
    <r>
      <t xml:space="preserve">• </t>
    </r>
    <r>
      <rPr>
        <sz val="10"/>
        <color rgb="FF000000"/>
        <rFont val="Arial"/>
        <family val="2"/>
      </rPr>
      <t>Electrical drawings showing the location of all sensors and controls for separate spaces</t>
    </r>
  </si>
  <si>
    <t>E-2 Strategy C</t>
  </si>
  <si>
    <r>
      <t>• Electrical</t>
    </r>
    <r>
      <rPr>
        <sz val="10"/>
        <color rgb="FF000000"/>
        <rFont val="Arial"/>
        <family val="2"/>
      </rPr>
      <t xml:space="preserve"> drawings showing the location of task lights and master main switch</t>
    </r>
  </si>
  <si>
    <r>
      <t>• Evidence o</t>
    </r>
    <r>
      <rPr>
        <sz val="10"/>
        <color rgb="FF000000"/>
        <rFont val="Arial"/>
        <family val="2"/>
      </rPr>
      <t>f the task lights, master main switch installed such as photographs, commissioning records, etc.</t>
    </r>
  </si>
  <si>
    <t>• Has the project space installed a master main switch?</t>
  </si>
  <si>
    <t>• If yes, is it located next to the main staff entry for the project space?</t>
  </si>
  <si>
    <t>Every separate space should have at least one lighting control device that should:</t>
  </si>
  <si>
    <t>Complete the table below with information on the automatic lighting shut-off controls and space controls installed in all the separate spaces of the project:</t>
  </si>
  <si>
    <t>Automatic lighting shut-off control</t>
  </si>
  <si>
    <t xml:space="preserve">Details on the automatic lighting shut-off control </t>
  </si>
  <si>
    <r>
      <t>Area of the space (m</t>
    </r>
    <r>
      <rPr>
        <vertAlign val="superscript"/>
        <sz val="10"/>
        <color rgb="FFFFFFFF"/>
        <rFont val="Arial"/>
        <family val="2"/>
      </rPr>
      <t>2</t>
    </r>
    <r>
      <rPr>
        <sz val="10"/>
        <color indexed="9"/>
        <rFont val="Arial"/>
        <family val="2"/>
      </rPr>
      <t>)</t>
    </r>
  </si>
  <si>
    <t>Compliant space?</t>
  </si>
  <si>
    <t>Number of lighting control devices installed</t>
  </si>
  <si>
    <t>Type of control devices installed</t>
  </si>
  <si>
    <t>Override of the schedule?</t>
  </si>
  <si>
    <t>Also, in spaces controlled with a timer where lighting may be needed beyond the scheduled period, lighting control devices should be able to override the scheduled shut-off controls.</t>
  </si>
  <si>
    <t>Comply with automatic lighting shut-off control requirements?</t>
  </si>
  <si>
    <t>Comply with lighting control device requirements?</t>
  </si>
  <si>
    <t>Lighting systems that have been installed in the interior project space by the base building shall also be included in the calculations.</t>
  </si>
  <si>
    <t>Complete the table below with information on all the lighting fixtures included in the interior project space (also including task lights)</t>
  </si>
  <si>
    <r>
      <t>Baseline Lighting Power Density (W/m</t>
    </r>
    <r>
      <rPr>
        <vertAlign val="superscript"/>
        <sz val="11"/>
        <color theme="0"/>
        <rFont val="Arial"/>
        <family val="2"/>
      </rPr>
      <t>2</t>
    </r>
    <r>
      <rPr>
        <sz val="11"/>
        <color theme="0"/>
        <rFont val="Arial"/>
        <family val="2"/>
      </rPr>
      <t>)</t>
    </r>
  </si>
  <si>
    <r>
      <t>Maximum Lighting Power Density (W/m</t>
    </r>
    <r>
      <rPr>
        <vertAlign val="superscript"/>
        <sz val="10"/>
        <color theme="0"/>
        <rFont val="Arial"/>
        <family val="2"/>
      </rPr>
      <t>2</t>
    </r>
    <r>
      <rPr>
        <sz val="10"/>
        <color theme="0"/>
        <rFont val="Arial"/>
        <family val="2"/>
      </rPr>
      <t>)</t>
    </r>
  </si>
  <si>
    <t>Building types / space types from Table E.1</t>
  </si>
  <si>
    <t>Other building types / space types</t>
  </si>
  <si>
    <t>Type 6</t>
  </si>
  <si>
    <t>Students
(secondary &amp; post-secondary)</t>
  </si>
  <si>
    <t>Students
(kindergarten and primary education</t>
  </si>
  <si>
    <t>Appendix C: Lighting Power Density Requirements</t>
  </si>
  <si>
    <t xml:space="preserve">• Either use values from Table 9.5.1 of ASHRAE 90.1-2007 and follow a building area method (e.g. for a museum project, consider the whole project as a museum and use a LPD value of 12 W/m2) OR use values from Table A.1 and follow a space-by-space method (e.g. for the same museum project, consider the different space types within the project: general exhibition, office, restrooms, corridors, storage...)
• If following a space-by-space method, the area of spaces listed in table below should not be counted in the above table. </t>
  </si>
  <si>
    <t>Type 7</t>
  </si>
  <si>
    <t>For projects with building/space types not listed in Table E.1 (such as: museums, gymnasiums, etc.), complete the table below and enter building/sace types and LPD values from Table 9.5.1 of ASHRAE 90.1-2007 or from Table A.1 in Resources.</t>
  </si>
  <si>
    <t>For projects with building/space types listed in Table E.1, complete the table below with information on the different space types in the project. 
If the project has only one building/space type, fill in information under Type 1 only. 
If the project is a mixed-use project, complete information for all the different building/space types.</t>
  </si>
  <si>
    <t>Method followed for building/space types not listed in Table E.1 (if any)</t>
  </si>
  <si>
    <t>Materials/Products made of timber coming from a sustainable source, preferably accredited by the Forest Stewardship Council (FSC), Vietnam Forest Certification Scheme (VFCS), Malaysia Timber Certification Council (MTCC) or other.</t>
  </si>
  <si>
    <t>Materials/Products third-party certified under labeling schemes using multi-attribute sustainability criteria</t>
  </si>
  <si>
    <t>Definition of the different types of sustainable features</t>
  </si>
  <si>
    <t>Materials/Products with third-party verified environmental claims</t>
  </si>
  <si>
    <t xml:space="preserve">Materials/Products that have been manufactured in an ISO 14001 certified facility. </t>
  </si>
  <si>
    <t>Materials/Products with a self-declared environmental product declaration (EPD) are materials/products for which an EPD has been produced by the manufacturer.</t>
  </si>
  <si>
    <t>Materials/Products third-party certified under labeling schemes using multi-attribute sustainability criteria based on lifecycle analysis such as Global GreenTag LCARate, Cradle to Cradle, NSF Sustainability Assessment, Singapore Green Building Product, etc.</t>
  </si>
  <si>
    <t>Materials/Products with a self-declared environmental product declaration</t>
  </si>
  <si>
    <t>Materials/Products with a third-party verified EPD.</t>
  </si>
  <si>
    <t>Materials/Products with a third-party verified environmental product declaration.</t>
  </si>
  <si>
    <t>Materials/Products that have been manufactured locally in Vietnam (within a 500 km radius of the project site or 500 km total transportation distance)</t>
  </si>
  <si>
    <t>Materials that have been extracted, harvested and manufactured locally in Vietnam (within a 500 km radius of the project site or 500 km total transportation distance).</t>
  </si>
  <si>
    <t>Locally salvaged  materials/products</t>
  </si>
  <si>
    <t>Materials that have been salvaged locally in Vietnam (within a 500 km radius of the project site or 500 km total transportation distance).</t>
  </si>
  <si>
    <r>
      <rPr>
        <sz val="10"/>
        <color rgb="FF5F4970"/>
        <rFont val="Arial"/>
        <family val="2"/>
      </rPr>
      <t>Equation MR.2</t>
    </r>
    <r>
      <rPr>
        <sz val="10"/>
        <rFont val="Arial"/>
        <family val="2"/>
      </rPr>
      <t>: Total transportation distance [km] = (Distance by rail/3) + (Distance by inland waterway/2) + (Distance by sea/15) +(Distance by all other means)</t>
    </r>
  </si>
  <si>
    <r>
      <rPr>
        <sz val="10"/>
        <color rgb="FF5F4970"/>
        <rFont val="Arial"/>
        <family val="2"/>
      </rPr>
      <t>Equation MR.1</t>
    </r>
    <r>
      <rPr>
        <sz val="10"/>
        <rFont val="Arial"/>
        <family val="2"/>
      </rPr>
      <t xml:space="preserve">: Recycled Content [%] = % Post + 0.5 × % Pre </t>
    </r>
  </si>
  <si>
    <t>• Rapidly renewable materials</t>
  </si>
  <si>
    <t>• Sustainable timber</t>
  </si>
  <si>
    <t>• Materials third-party certified under labeling schemes using multi-attribute sustainability criteria</t>
  </si>
  <si>
    <t>Sustainability value of the sustainable materials can be increased with the following sustainable features:</t>
  </si>
  <si>
    <t xml:space="preserve">• Materials from an ISO 14001 certified manufacturer </t>
  </si>
  <si>
    <t>• Materials with third-party verified environmental claims</t>
  </si>
  <si>
    <t xml:space="preserve">• Materials with a self-declared environmental product declaration </t>
  </si>
  <si>
    <t>• Materials with a third-party verified EPD</t>
  </si>
  <si>
    <t xml:space="preserve">• Materials designed for disassembly </t>
  </si>
  <si>
    <t>• Locally salvaged materials</t>
  </si>
  <si>
    <t>Materials which have not been defined as sustainable materials cannot contribute towards the achievement of this credit even if they have some sustainable features</t>
  </si>
  <si>
    <t>The different types of sustainable materials are appointed with different sustainability value according to Table MR.1 and different sustainable factors according to Table MR.2.</t>
  </si>
  <si>
    <t>Sustainable materials Criteria</t>
  </si>
  <si>
    <t>Materials sustainability value</t>
  </si>
  <si>
    <t>% of recycled content (calculated as above)</t>
  </si>
  <si>
    <t>Sustainable timber</t>
  </si>
  <si>
    <t>0.5 x % of timber from sustainable sources (by mass)</t>
  </si>
  <si>
    <t>Materials third-party certified under labeling schemes using multi-attribute sustainability criteria</t>
  </si>
  <si>
    <t>Non-baked materials (for non-structural walls only)</t>
  </si>
  <si>
    <t>• Platinum &amp; Gold (or equivalent): 100%
• Silver (or equivalent): 80%
• Bronze (or equivalent): 60%
• Basic (or equivalent): 40%</t>
  </si>
  <si>
    <r>
      <rPr>
        <i/>
        <sz val="10"/>
        <color rgb="FF5F4970"/>
        <rFont val="Arial"/>
        <family val="2"/>
      </rPr>
      <t>Table MR.1</t>
    </r>
    <r>
      <rPr>
        <i/>
        <sz val="10"/>
        <rFont val="Arial"/>
        <family val="2"/>
      </rPr>
      <t>: Sustainability value of the different types of sustainable materials</t>
    </r>
  </si>
  <si>
    <r>
      <rPr>
        <i/>
        <sz val="10"/>
        <color rgb="FF5F4970"/>
        <rFont val="Arial"/>
        <family val="2"/>
      </rPr>
      <t>Table MR.2</t>
    </r>
    <r>
      <rPr>
        <i/>
        <sz val="10"/>
        <rFont val="Arial"/>
        <family val="2"/>
      </rPr>
      <t xml:space="preserve">: Sustainability factors for additional sustainable features </t>
    </r>
  </si>
  <si>
    <t>Sustainable features Criteria</t>
  </si>
  <si>
    <t>Sustainability factors</t>
  </si>
  <si>
    <r>
      <t xml:space="preserve">Manufacturer with ISO </t>
    </r>
    <r>
      <rPr>
        <sz val="10"/>
        <color rgb="FF000000"/>
        <rFont val="Arial"/>
        <family val="2"/>
      </rPr>
      <t>14001 certification</t>
    </r>
  </si>
  <si>
    <t>Environmental claims third-party verified</t>
  </si>
  <si>
    <t xml:space="preserve">Materials with self-declared EPD </t>
  </si>
  <si>
    <t>Materials with third-party verified EPD</t>
  </si>
  <si>
    <t>Materials manufactured locally</t>
  </si>
  <si>
    <t>Materials extracted, harvested and manufactured locally</t>
  </si>
  <si>
    <t>Materials salvaged locally</t>
  </si>
  <si>
    <t>• Locally salvaged products</t>
  </si>
  <si>
    <t>• Locally extracted, harvested and manufactured products</t>
  </si>
  <si>
    <t xml:space="preserve">• Products from an ISO 14001 certified manufacturer </t>
  </si>
  <si>
    <t>• Products with third-party verified environmental claims</t>
  </si>
  <si>
    <t xml:space="preserve">• Products with a self-declared environmental product declaration </t>
  </si>
  <si>
    <t>• Products with a third-party verified EPD</t>
  </si>
  <si>
    <t>• Products with reused components</t>
  </si>
  <si>
    <t>• Products with recycled content</t>
  </si>
  <si>
    <t>• Products made of sustainable timber</t>
  </si>
  <si>
    <t>• Products third-party certified under labeling schemes using multi-attribute sustainability criteria</t>
  </si>
  <si>
    <t>• Reused products</t>
  </si>
  <si>
    <t>The different types of sustainable furniture products are appointed with different sustainability value according to Table MR.4 and different sustainable factors according to Table MR.5.</t>
  </si>
  <si>
    <t>Products which have not been defined as sustainable materials cannot contribute towards the achievement of this credit even if they have some sustainable features</t>
  </si>
  <si>
    <r>
      <rPr>
        <i/>
        <sz val="10"/>
        <color rgb="FF5F4970"/>
        <rFont val="Arial"/>
        <family val="2"/>
      </rPr>
      <t>Table MR.4</t>
    </r>
    <r>
      <rPr>
        <i/>
        <sz val="10"/>
        <rFont val="Arial"/>
        <family val="2"/>
      </rPr>
      <t xml:space="preserve">: Sustainability factors of the different types of sustainable furniture products </t>
    </r>
  </si>
  <si>
    <r>
      <rPr>
        <i/>
        <sz val="10"/>
        <color rgb="FF5F4970"/>
        <rFont val="Arial"/>
        <family val="2"/>
      </rPr>
      <t>Table MR.5</t>
    </r>
    <r>
      <rPr>
        <i/>
        <sz val="10"/>
        <rFont val="Arial"/>
        <family val="2"/>
      </rPr>
      <t xml:space="preserve">: Sustainability factors for additional sustainable features </t>
    </r>
  </si>
  <si>
    <r>
      <t xml:space="preserve">Reused </t>
    </r>
    <r>
      <rPr>
        <sz val="10"/>
        <color rgb="FF000000"/>
        <rFont val="Arial"/>
        <family val="2"/>
      </rPr>
      <t>products</t>
    </r>
  </si>
  <si>
    <t>Products with reused components</t>
  </si>
  <si>
    <t>Products with recycled content</t>
  </si>
  <si>
    <t>Products made with rapidly renewable materials</t>
  </si>
  <si>
    <t>Products made of timber coming from sustainable sources</t>
  </si>
  <si>
    <t>Products third-party certified under labeling schemes using multi-attribute sustainability criteria</t>
  </si>
  <si>
    <t>Sustainable products Criteria</t>
  </si>
  <si>
    <t>Type of sustainable material</t>
  </si>
  <si>
    <t>Cost of Material
(VND)</t>
  </si>
  <si>
    <t>Building material</t>
  </si>
  <si>
    <t>Reused material</t>
  </si>
  <si>
    <t>Material with reused components</t>
  </si>
  <si>
    <t>Material with recycled content</t>
  </si>
  <si>
    <t>Manufacturer with ISO 14001 certification</t>
  </si>
  <si>
    <t xml:space="preserve">Material with self-declared EPD </t>
  </si>
  <si>
    <t>Material manufactured locally</t>
  </si>
  <si>
    <t>Material with third-party verified EPD</t>
  </si>
  <si>
    <t>Material extracted, harvested and manufactured locally</t>
  </si>
  <si>
    <t>Material salvaged locally</t>
  </si>
  <si>
    <t>Complete the table below with information on all the materials installed in the project space. 
All the materials that are not sustainable can be gathered together in the same row.</t>
  </si>
  <si>
    <t>Type of sustainable furniture product</t>
  </si>
  <si>
    <t>Cost of Product
(VND)</t>
  </si>
  <si>
    <t>Non-baked material</t>
  </si>
  <si>
    <t>Reused product</t>
  </si>
  <si>
    <t>Product with reused components</t>
  </si>
  <si>
    <t>Product with recycled content</t>
  </si>
  <si>
    <t>Material third-party certified 
(Platinum or Gold equivalent)</t>
  </si>
  <si>
    <t>Material third-party certified 
(Silver equivalent)</t>
  </si>
  <si>
    <t>Material third-party certified 
(Bronze equivalent)</t>
  </si>
  <si>
    <t>Material third-party certified 
(Basic equivalent)</t>
  </si>
  <si>
    <t>Product third-party certified 
(Platinum or Gold equivalent)</t>
  </si>
  <si>
    <t>Product third-party certified 
(Silver equivalent)</t>
  </si>
  <si>
    <t>Product third-party certified 
(Bronze equivalent)</t>
  </si>
  <si>
    <t>Product third-party certified 
(Basic equivalent)</t>
  </si>
  <si>
    <t>Product made of sustainable timber</t>
  </si>
  <si>
    <t>Product made of rapidly renewable material</t>
  </si>
  <si>
    <t xml:space="preserve">Product with self-declared EPD </t>
  </si>
  <si>
    <t>Product manufactured locally</t>
  </si>
  <si>
    <t>Sustainable features of the product</t>
  </si>
  <si>
    <t xml:space="preserve">Sustainability coefficient of the product </t>
  </si>
  <si>
    <t xml:space="preserve">Sustainability coefficient of the material </t>
  </si>
  <si>
    <t>Complete the table below with information on all the furniture products installed in the project space. 
All the furniture products that are not sustainable can be gathered together in the same row.</t>
  </si>
  <si>
    <t>Product with third-party verified EPD</t>
  </si>
  <si>
    <t>Product extracted, harvested and manufactured locally</t>
  </si>
  <si>
    <t>Product salvaged locally</t>
  </si>
  <si>
    <t>Material designed for disassembly</t>
  </si>
  <si>
    <t>Click on the link on the 
right to navigate to the 
other EP credit</t>
  </si>
  <si>
    <t>LOTUS is a point-based system. Projects obtain points for complying with LOTUS credit criteria. 
Projects are not required to comply with every credit. Only target appropriate credits that projects can reasonably achieve. However, each project must target a minimum number of credits in order to achieve sufficient points to match the desired certification level (cf section 'LOTUS SI Certification' below)
For a project to comply with a credit, it must meet the intent of the credit, achieve the specific requirements of the credit and provide  the required submission documents.</t>
  </si>
  <si>
    <t>Measures</t>
  </si>
  <si>
    <t>NAVIGATION</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</si>
  <si>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need for cooling by increasing natural air flow and to encourage the installation of energy efficient HVAC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20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AB27"/>
        <rFont val="Arial"/>
        <family val="2"/>
      </rPr>
      <t>5 strategies</t>
    </r>
    <r>
      <rPr>
        <b/>
        <sz val="11"/>
        <color theme="1" tint="0.249977111117893"/>
        <rFont val="Arial"/>
        <family val="2"/>
      </rPr>
      <t xml:space="preserve"> are available for this credit and they can all be followed at the same time with a </t>
    </r>
    <r>
      <rPr>
        <b/>
        <sz val="11"/>
        <color rgb="FF58AB27"/>
        <rFont val="Arial"/>
        <family val="2"/>
      </rPr>
      <t>maximum of 6 points available</t>
    </r>
    <r>
      <rPr>
        <b/>
        <sz val="11"/>
        <color theme="1" tint="0.249977111117893"/>
        <rFont val="Arial"/>
        <family val="2"/>
      </rPr>
      <t xml:space="preserve">. 
Read all the instructions and complete the information in the light red-coloured cells. </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</si>
  <si>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energy consumption associated with the use of interior artificial lighting systems by selecting efficient lighting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25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AB27"/>
        <rFont val="Arial"/>
        <family val="2"/>
      </rPr>
      <t>3 strategies</t>
    </r>
    <r>
      <rPr>
        <b/>
        <sz val="11"/>
        <color theme="1" tint="0.249977111117893"/>
        <rFont val="Arial"/>
        <family val="2"/>
      </rPr>
      <t xml:space="preserve"> are available for this credit and they can all be followed at the same time with </t>
    </r>
    <r>
      <rPr>
        <b/>
        <sz val="11"/>
        <color rgb="FF58AB27"/>
        <rFont val="Arial"/>
        <family val="2"/>
      </rPr>
      <t>a maximum of 5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</si>
  <si>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equipment and appliances.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30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AB27"/>
        <rFont val="Arial"/>
        <family val="2"/>
      </rPr>
      <t>2 strategies</t>
    </r>
    <r>
      <rPr>
        <b/>
        <sz val="11"/>
        <color theme="1" tint="0.249977111117893"/>
        <rFont val="Arial"/>
        <family val="2"/>
      </rPr>
      <t xml:space="preserve"> are available for this credit and both can be followed at the same time with a </t>
    </r>
    <r>
      <rPr>
        <b/>
        <sz val="11"/>
        <color rgb="FF58AB27"/>
        <rFont val="Arial"/>
        <family val="2"/>
      </rPr>
      <t>maximum of 4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</si>
  <si>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have access to energy use information and encourage energy conservation.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33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</si>
  <si>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97-99 of the LOTUS Small Interiors V2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</si>
  <si>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consumption of water in buildings by means of water efficient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35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Select if some water closets and bathroom taps are installed by the project within the tenant spaces. Then, follow either Option A </t>
    </r>
    <r>
      <rPr>
        <b/>
        <sz val="11"/>
        <color rgb="FFFF0000"/>
        <rFont val="Arial"/>
        <family val="2"/>
      </rPr>
      <t>OR</t>
    </r>
    <r>
      <rPr>
        <b/>
        <sz val="11"/>
        <color theme="1" tint="0.249977111117893"/>
        <rFont val="Arial"/>
        <family val="2"/>
      </rPr>
      <t xml:space="preserve"> Option B. 
In each option, different strategies are available and they can all be followed at the same time with </t>
    </r>
    <r>
      <rPr>
        <b/>
        <sz val="11"/>
        <color rgb="FF0070C0"/>
        <rFont val="Arial"/>
        <family val="2"/>
      </rPr>
      <t>a maximum of 5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</si>
  <si>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use of plastic water bottles and the environmental impact associated to their production and transportation.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38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</si>
  <si>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sustainable materials.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40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</si>
  <si>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sustainable furniture products.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44 of the LOTUS Small Interiors V2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</si>
  <si>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reuse, salvage and recycling of waste generated during fit-out activities and to minimize disposal in landfill.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48 of the LOTUS Small Interiors V2 Technical Manual
</t>
    </r>
    <r>
      <rPr>
        <b/>
        <u/>
        <sz val="11"/>
        <color theme="1" tint="0.249977111117893"/>
        <rFont val="Arial"/>
        <family val="2"/>
      </rPr>
      <t>Instructions</t>
    </r>
    <r>
      <rPr>
        <b/>
        <sz val="11"/>
        <color theme="1" tint="0.249977111117893"/>
        <rFont val="Arial"/>
        <family val="2"/>
      </rPr>
      <t xml:space="preserve">: </t>
    </r>
    <r>
      <rPr>
        <b/>
        <sz val="11"/>
        <color rgb="FF5F4970"/>
        <rFont val="Arial"/>
        <family val="2"/>
      </rPr>
      <t>2 strategies</t>
    </r>
    <r>
      <rPr>
        <b/>
        <sz val="11"/>
        <color theme="1" tint="0.249977111117893"/>
        <rFont val="Arial"/>
        <family val="2"/>
      </rPr>
      <t xml:space="preserve"> are available for this credit and both can be followed at the same time with a </t>
    </r>
    <r>
      <rPr>
        <b/>
        <sz val="11"/>
        <color rgb="FF5F4970"/>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</si>
  <si>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implement waste sorting and facilitate the recycling and reuse of waste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51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F4970"/>
        <rFont val="Arial"/>
        <family val="2"/>
      </rPr>
      <t>2 strategies</t>
    </r>
    <r>
      <rPr>
        <b/>
        <sz val="11"/>
        <color theme="1" tint="0.249977111117893"/>
        <rFont val="Arial"/>
        <family val="2"/>
      </rPr>
      <t xml:space="preserve"> are available for this credit and both can be followed at the same time with a </t>
    </r>
    <r>
      <rPr>
        <b/>
        <sz val="11"/>
        <color rgb="FF5F4970"/>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</si>
  <si>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the provision of enough fresh air to maintain good indoor air quality during occupancy.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54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For each occupied room, verify that sufficient fresh air supply will be provided, whether from natural ventilation, mechanical ventilation or mixed-mode ventilation.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</si>
  <si>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minimize the negative impacts of volatile organic compounds (VOCs) &amp; formaldehydes from building materials on occupant’s health.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57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and and they can all be followed at the same time with a </t>
    </r>
    <r>
      <rPr>
        <b/>
        <sz val="11"/>
        <color rgb="FF943634"/>
        <rFont val="Arial"/>
        <family val="2"/>
      </rPr>
      <t>maximum of 4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</si>
  <si>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installation of interior plants that will improve indoor air quality and enhance the productivity.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60 of the LOTUS Small Interiors V2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</si>
  <si>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use of environmentally friendly cleaning products and procedures.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62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</si>
  <si>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building designs which maximize the use of daylight.
</t>
    </r>
    <r>
      <rPr>
        <b/>
        <u/>
        <sz val="11"/>
        <color theme="1" tint="0.249977111117893"/>
        <rFont val="Arial"/>
        <family val="2"/>
      </rPr>
      <t>Reference:</t>
    </r>
    <r>
      <rPr>
        <sz val="11"/>
        <color theme="1" tint="0.249977111117893"/>
        <rFont val="Arial"/>
        <family val="2"/>
      </rPr>
      <t xml:space="preserve"> Page 63 of the LOTUS Small Interiors V2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</si>
  <si>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increase the occupants connection to the outdoors by ensuring direct line of sight to the exterior.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66 of the LOTUS Small Interiors V2 Technical Manual
</t>
    </r>
    <r>
      <rPr>
        <b/>
        <u/>
        <sz val="11"/>
        <color theme="1" tint="0.249977111117893"/>
        <rFont val="Arial"/>
        <family val="2"/>
      </rPr>
      <t>Instructions</t>
    </r>
    <r>
      <rPr>
        <b/>
        <sz val="11"/>
        <color theme="1" tint="0.249977111117893"/>
        <rFont val="Arial"/>
        <family val="2"/>
      </rPr>
      <t xml:space="preserve">: </t>
    </r>
    <r>
      <rPr>
        <b/>
        <sz val="11"/>
        <color rgb="FF943634"/>
        <rFont val="Arial"/>
        <family val="2"/>
      </rPr>
      <t>2 strategies</t>
    </r>
    <r>
      <rPr>
        <b/>
        <sz val="11"/>
        <color theme="1" tint="0.249977111117893"/>
        <rFont val="Arial"/>
        <family val="2"/>
      </rPr>
      <t xml:space="preserve"> are available for this credit and both can be followed at the same time with a </t>
    </r>
    <r>
      <rPr>
        <b/>
        <sz val="11"/>
        <color rgb="FF943634"/>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</si>
  <si>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designs which achieve comfortable thermal conditions for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70 of the LOTUS Small Interiors V2 Technical Manual
</t>
    </r>
    <r>
      <rPr>
        <b/>
        <u/>
        <sz val="11"/>
        <color theme="1" tint="0.249977111117893"/>
        <rFont val="Arial"/>
        <family val="2"/>
      </rPr>
      <t>Instructions</t>
    </r>
    <r>
      <rPr>
        <b/>
        <sz val="11"/>
        <color theme="1" tint="0.249977111117893"/>
        <rFont val="Arial"/>
        <family val="2"/>
      </rPr>
      <t>: 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</si>
  <si>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99-108 of the LOTUS Small Interiors V2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</si>
  <si>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the selection of LOTUS certified base building or a base building that features green attributes.
</t>
    </r>
    <r>
      <rPr>
        <b/>
        <u/>
        <sz val="11"/>
        <color theme="1" tint="0.249977111117893"/>
        <rFont val="Arial"/>
        <family val="2"/>
      </rPr>
      <t>Reference:</t>
    </r>
    <r>
      <rPr>
        <sz val="11"/>
        <color theme="1" tint="0.249977111117893"/>
        <rFont val="Arial"/>
        <family val="2"/>
      </rPr>
      <t xml:space="preserve"> Page 73 of the LOTUS Small Interiors V2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Option A: Certified base building </t>
    </r>
    <r>
      <rPr>
        <b/>
        <sz val="11"/>
        <color rgb="FFFF0000"/>
        <rFont val="Arial"/>
        <family val="2"/>
      </rPr>
      <t>OR</t>
    </r>
    <r>
      <rPr>
        <b/>
        <sz val="11"/>
        <color theme="1" tint="0.249977111117893"/>
        <rFont val="Arial"/>
        <family val="2"/>
      </rPr>
      <t xml:space="preserve"> Option B: Base building with green attributes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</si>
  <si>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lease types that will help to improve the sustainability performance of the project.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75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Long-term lease </t>
    </r>
    <r>
      <rPr>
        <b/>
        <sz val="11"/>
        <color rgb="FFFF0000"/>
        <rFont val="Arial"/>
        <family val="2"/>
      </rPr>
      <t>OR</t>
    </r>
    <r>
      <rPr>
        <b/>
        <sz val="11"/>
        <color theme="1" tint="0.249977111117893"/>
        <rFont val="Arial"/>
        <family val="2"/>
      </rPr>
      <t xml:space="preserve"> Option B: Green lease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</si>
  <si>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raise awareness of the different collective transport means available to occupants and implement policies to ensure a significant proportion of occupant trips are made by green transport.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77 of the LOTUS Small Interiors V2 Technical Manual
</t>
    </r>
    <r>
      <rPr>
        <b/>
        <u/>
        <sz val="11"/>
        <color theme="1" tint="0.249977111117893"/>
        <rFont val="Arial"/>
        <family val="2"/>
      </rPr>
      <t>Instructions</t>
    </r>
    <r>
      <rPr>
        <b/>
        <sz val="11"/>
        <color theme="1" tint="0.249977111117893"/>
        <rFont val="Arial"/>
        <family val="2"/>
      </rPr>
      <t xml:space="preserve">: </t>
    </r>
    <r>
      <rPr>
        <b/>
        <sz val="11"/>
        <color rgb="FF76923C"/>
        <rFont val="Arial"/>
        <family val="2"/>
      </rPr>
      <t>3 strategies</t>
    </r>
    <r>
      <rPr>
        <b/>
        <sz val="11"/>
        <color theme="1" tint="0.249977111117893"/>
        <rFont val="Arial"/>
        <family val="2"/>
      </rPr>
      <t xml:space="preserve"> are available for this credit and they can all be followed at the same time with a </t>
    </r>
    <r>
      <rPr>
        <b/>
        <sz val="11"/>
        <color rgb="FF76923C"/>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</si>
  <si>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the installation of systems that limit the atmospheric impact due to the use of refrigerants.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79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Option B </t>
    </r>
    <r>
      <rPr>
        <b/>
        <sz val="11"/>
        <color rgb="FFFF0000"/>
        <rFont val="Arial"/>
        <family val="2"/>
      </rPr>
      <t>OR</t>
    </r>
    <r>
      <rPr>
        <b/>
        <sz val="11"/>
        <color theme="1" tint="0.249977111117893"/>
        <rFont val="Arial"/>
        <family val="2"/>
      </rPr>
      <t xml:space="preserve"> Option C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</si>
  <si>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provide access to facilities and amenities for the occupants and increase their well-being, satisfaction and enjoyment.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110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</si>
  <si>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sustainable and environmentally friendly construction activities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84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84806"/>
        <rFont val="Arial"/>
        <family val="2"/>
      </rPr>
      <t>4 strategies</t>
    </r>
    <r>
      <rPr>
        <b/>
        <sz val="11"/>
        <color theme="1" tint="0.249977111117893"/>
        <rFont val="Arial"/>
        <family val="2"/>
      </rPr>
      <t xml:space="preserve"> are available for this credit and they can all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</si>
  <si>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building systems are well installed and are performing up to the design intent.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87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</si>
  <si>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88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84806"/>
        <rFont val="Arial"/>
        <family val="2"/>
      </rPr>
      <t>2 strategies</t>
    </r>
    <r>
      <rPr>
        <b/>
        <sz val="11"/>
        <color theme="1" tint="0.249977111117893"/>
        <rFont val="Arial"/>
        <family val="2"/>
      </rPr>
      <t xml:space="preserve"> are available for this credit and both can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</si>
  <si>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90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84806"/>
        <rFont val="Arial"/>
        <family val="2"/>
      </rPr>
      <t>3 strategies</t>
    </r>
    <r>
      <rPr>
        <b/>
        <sz val="11"/>
        <color theme="1" tint="0.249977111117893"/>
        <rFont val="Arial"/>
        <family val="2"/>
      </rPr>
      <t xml:space="preserve"> are available for this credit and they can all be followed at the same time with a </t>
    </r>
    <r>
      <rPr>
        <b/>
        <sz val="11"/>
        <color rgb="FF984806"/>
        <rFont val="Arial"/>
        <family val="2"/>
      </rPr>
      <t>maximum of 2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</si>
  <si>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111-113 of the LOTUS Small Interiors V2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</si>
  <si>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encourage exceptional performance, and recognise projects that achieves environmental benefits in excess of the current LOTUS Small Interiors benchmarks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93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</si>
  <si>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promote techniques and/or initiatives that are out of the scope of the current LOTUS Small Interiors system.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95 of the LOTUS Small Interiors V2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Fill in the light red-coloured cells with the different innovative initiatives implemented. </t>
    </r>
  </si>
  <si>
    <t>• For each water fixture installed, evidence showing the water usage of the fixture (flowrate or flush size) such as manufacturer's data, inventory report from a facility audit or test measurements results.</t>
  </si>
  <si>
    <t>• Manufacturer's data of all the water efficient fixtures installed showing the water usage of the fixtures (flowrates or flush volumes) - OR -
• Test measurements results showing the water usage of the fixtures (flowrates or flush volumes) of all the water fixtures installed</t>
  </si>
  <si>
    <t>Last updated on the 26/01/2021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</si>
</sst>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
    <numFmt numFmtId="166" formatCode="#,##0.0"/>
    <numFmt numFmtId="167" formatCode="#,##0.000"/>
  </numFmts>
  <fonts count="196" x14ac:knownFonts="1">
    <font>
      <sz val="11"/>
      <color theme="1"/>
      <name val="Calibri"/>
      <family val="2"/>
      <scheme val="minor"/>
    </font>
    <font>
      <sz val="11"/>
      <color theme="1"/>
      <name val="Calibri"/>
      <family val="2"/>
      <scheme val="minor"/>
    </font>
    <font>
      <sz val="10"/>
      <name val="Arial"/>
      <family val="2"/>
    </font>
    <font>
      <b/>
      <sz val="14"/>
      <name val="Arial"/>
      <family val="2"/>
    </font>
    <font>
      <b/>
      <sz val="11"/>
      <color theme="0"/>
      <name val="Arial"/>
      <family val="2"/>
    </font>
    <font>
      <b/>
      <sz val="12"/>
      <color theme="0"/>
      <name val="Arial"/>
      <family val="2"/>
    </font>
    <font>
      <b/>
      <sz val="11"/>
      <name val="Arial"/>
      <family val="2"/>
    </font>
    <font>
      <sz val="10"/>
      <color rgb="FFFF0000"/>
      <name val="Arial"/>
      <family val="2"/>
    </font>
    <font>
      <sz val="11"/>
      <name val="Arial"/>
      <family val="2"/>
    </font>
    <font>
      <b/>
      <sz val="18"/>
      <color indexed="9"/>
      <name val="Arial"/>
      <family val="2"/>
    </font>
    <font>
      <b/>
      <sz val="12"/>
      <color indexed="9"/>
      <name val="Arial"/>
      <family val="2"/>
    </font>
    <font>
      <sz val="10"/>
      <color theme="0"/>
      <name val="Arial"/>
      <family val="2"/>
    </font>
    <font>
      <vertAlign val="superscript"/>
      <sz val="10"/>
      <color theme="0"/>
      <name val="Arial"/>
      <family val="2"/>
    </font>
    <font>
      <sz val="10"/>
      <color indexed="9"/>
      <name val="Arial"/>
      <family val="2"/>
    </font>
    <font>
      <sz val="10"/>
      <color theme="1"/>
      <name val="Arial"/>
      <family val="2"/>
    </font>
    <font>
      <b/>
      <sz val="14"/>
      <color indexed="9"/>
      <name val="Arial"/>
      <family val="2"/>
    </font>
    <font>
      <sz val="11"/>
      <color theme="0"/>
      <name val="Arial"/>
      <family val="2"/>
    </font>
    <font>
      <vertAlign val="superscript"/>
      <sz val="11"/>
      <color theme="0"/>
      <name val="Arial"/>
      <family val="2"/>
    </font>
    <font>
      <sz val="11"/>
      <color theme="1"/>
      <name val="Arial"/>
      <family val="2"/>
    </font>
    <font>
      <b/>
      <sz val="10"/>
      <color theme="0"/>
      <name val="Arial"/>
      <family val="2"/>
    </font>
    <font>
      <i/>
      <sz val="10"/>
      <name val="Arial"/>
      <family val="2"/>
    </font>
    <font>
      <b/>
      <sz val="10"/>
      <name val="Arial"/>
      <family val="2"/>
    </font>
    <font>
      <sz val="8"/>
      <name val="Arial"/>
      <family val="2"/>
    </font>
    <font>
      <sz val="22"/>
      <color rgb="FF58B527"/>
      <name val="Calibri"/>
      <family val="2"/>
      <scheme val="minor"/>
    </font>
    <font>
      <u/>
      <sz val="11"/>
      <color theme="10"/>
      <name val="Calibri"/>
      <family val="2"/>
      <scheme val="minor"/>
    </font>
    <font>
      <b/>
      <sz val="9"/>
      <name val="Arial"/>
      <family val="2"/>
    </font>
    <font>
      <b/>
      <sz val="9"/>
      <color indexed="9"/>
      <name val="Arial"/>
      <family val="2"/>
    </font>
    <font>
      <b/>
      <sz val="8"/>
      <name val="Arial"/>
      <family val="2"/>
    </font>
    <font>
      <sz val="9"/>
      <name val="Arial"/>
      <family val="2"/>
    </font>
    <font>
      <sz val="10"/>
      <color theme="1"/>
      <name val="Symbol"/>
      <family val="1"/>
      <charset val="2"/>
    </font>
    <font>
      <vertAlign val="subscript"/>
      <sz val="10"/>
      <color indexed="9"/>
      <name val="Arial"/>
      <family val="2"/>
    </font>
    <font>
      <sz val="11"/>
      <color indexed="8"/>
      <name val="Calibri"/>
      <family val="2"/>
    </font>
    <font>
      <sz val="11"/>
      <color indexed="9"/>
      <name val="Arial"/>
      <family val="2"/>
    </font>
    <font>
      <sz val="12"/>
      <color indexed="9"/>
      <name val="Arial"/>
      <family val="2"/>
    </font>
    <font>
      <sz val="11"/>
      <color theme="0"/>
      <name val="Calibri"/>
      <family val="2"/>
      <scheme val="minor"/>
    </font>
    <font>
      <b/>
      <sz val="11"/>
      <color indexed="9"/>
      <name val="Arial"/>
      <family val="2"/>
    </font>
    <font>
      <sz val="11"/>
      <color rgb="FFFFFFFF"/>
      <name val="Arial"/>
      <family val="2"/>
    </font>
    <font>
      <sz val="20"/>
      <color rgb="FF58B527"/>
      <name val="Calibri"/>
      <family val="2"/>
      <scheme val="minor"/>
    </font>
    <font>
      <u/>
      <sz val="14"/>
      <color rgb="FF58B527"/>
      <name val="Calibri"/>
      <family val="2"/>
      <scheme val="minor"/>
    </font>
    <font>
      <i/>
      <sz val="11.5"/>
      <color theme="1"/>
      <name val="Calibri"/>
      <family val="2"/>
      <scheme val="minor"/>
    </font>
    <font>
      <u/>
      <sz val="18"/>
      <color rgb="FF943634"/>
      <name val="Calibri"/>
      <family val="2"/>
      <scheme val="minor"/>
    </font>
    <font>
      <sz val="11"/>
      <color theme="1"/>
      <name val="Calibri"/>
      <family val="2"/>
    </font>
    <font>
      <sz val="14"/>
      <color rgb="FF943634"/>
      <name val="Calibri"/>
      <family val="2"/>
      <scheme val="minor"/>
    </font>
    <font>
      <sz val="10"/>
      <name val="Calibri"/>
      <family val="2"/>
    </font>
    <font>
      <sz val="10"/>
      <color rgb="FFFFFFFF"/>
      <name val="Arial"/>
      <family val="2"/>
    </font>
    <font>
      <b/>
      <i/>
      <sz val="24"/>
      <color theme="0"/>
      <name val="Arial"/>
      <family val="2"/>
    </font>
    <font>
      <sz val="12"/>
      <color theme="0"/>
      <name val="Arial"/>
      <family val="2"/>
    </font>
    <font>
      <u/>
      <sz val="11"/>
      <color theme="10"/>
      <name val="Calibri"/>
      <family val="2"/>
    </font>
    <font>
      <sz val="11"/>
      <name val="Calibri"/>
      <family val="2"/>
    </font>
    <font>
      <sz val="12"/>
      <color rgb="FF943634"/>
      <name val="Calibri"/>
      <family val="2"/>
      <scheme val="minor"/>
    </font>
    <font>
      <sz val="12"/>
      <name val="Arial"/>
      <family val="2"/>
    </font>
    <font>
      <u/>
      <sz val="12"/>
      <color rgb="FF0563C1"/>
      <name val="Arial"/>
      <family val="2"/>
    </font>
    <font>
      <b/>
      <sz val="10"/>
      <name val="Calibri"/>
      <family val="2"/>
    </font>
    <font>
      <sz val="10"/>
      <name val="Calibri"/>
      <family val="2"/>
      <scheme val="minor"/>
    </font>
    <font>
      <sz val="10"/>
      <color theme="1" tint="0.249977111117893"/>
      <name val="Arial"/>
      <family val="2"/>
    </font>
    <font>
      <i/>
      <sz val="11"/>
      <color theme="1"/>
      <name val="Calibri"/>
      <family val="2"/>
      <scheme val="minor"/>
    </font>
    <font>
      <b/>
      <sz val="11"/>
      <color theme="1" tint="0.249977111117893"/>
      <name val="Arial"/>
      <family val="2"/>
    </font>
    <font>
      <sz val="11"/>
      <color theme="1" tint="0.249977111117893"/>
      <name val="Arial"/>
      <family val="2"/>
    </font>
    <font>
      <b/>
      <sz val="11"/>
      <color rgb="FFFF0000"/>
      <name val="Arial"/>
      <family val="2"/>
    </font>
    <font>
      <b/>
      <u/>
      <sz val="11"/>
      <color theme="1" tint="0.249977111117893"/>
      <name val="Arial"/>
      <family val="2"/>
    </font>
    <font>
      <u/>
      <sz val="11"/>
      <color rgb="FF58AB27"/>
      <name val="Arial"/>
      <family val="2"/>
    </font>
    <font>
      <sz val="10"/>
      <color rgb="FF58AB27"/>
      <name val="Arial"/>
      <family val="2"/>
    </font>
    <font>
      <i/>
      <sz val="11"/>
      <color theme="1" tint="0.34998626667073579"/>
      <name val="Arial"/>
      <family val="2"/>
    </font>
    <font>
      <u/>
      <sz val="11"/>
      <color rgb="FF0070C0"/>
      <name val="Arial"/>
      <family val="2"/>
    </font>
    <font>
      <sz val="10"/>
      <color theme="1"/>
      <name val="Calibri"/>
      <family val="2"/>
      <scheme val="minor"/>
    </font>
    <font>
      <b/>
      <sz val="10"/>
      <color theme="1"/>
      <name val="Arial"/>
      <family val="2"/>
    </font>
    <font>
      <u/>
      <sz val="11"/>
      <color rgb="FF76923C"/>
      <name val="Arial"/>
      <family val="2"/>
    </font>
    <font>
      <sz val="11"/>
      <name val="Symbol"/>
      <family val="1"/>
      <charset val="2"/>
    </font>
    <font>
      <sz val="22"/>
      <color theme="0"/>
      <name val="Calibri"/>
      <family val="2"/>
      <scheme val="minor"/>
    </font>
    <font>
      <u/>
      <sz val="16"/>
      <color rgb="FF943634"/>
      <name val="Calibri"/>
      <family val="2"/>
      <scheme val="minor"/>
    </font>
    <font>
      <sz val="14"/>
      <color theme="1"/>
      <name val="Calibri"/>
      <family val="2"/>
      <scheme val="minor"/>
    </font>
    <font>
      <sz val="11"/>
      <name val="Calibri"/>
      <family val="2"/>
      <scheme val="minor"/>
    </font>
    <font>
      <sz val="12"/>
      <name val="Calibri"/>
      <family val="2"/>
      <scheme val="minor"/>
    </font>
    <font>
      <u/>
      <sz val="11"/>
      <color rgb="FF58B527"/>
      <name val="Calibri"/>
      <family val="2"/>
      <scheme val="minor"/>
    </font>
    <font>
      <u/>
      <sz val="14"/>
      <color rgb="FF943634"/>
      <name val="Calibri"/>
      <family val="2"/>
      <scheme val="minor"/>
    </font>
    <font>
      <sz val="10"/>
      <color rgb="FF000000"/>
      <name val="Arial"/>
      <family val="2"/>
    </font>
    <font>
      <i/>
      <sz val="9"/>
      <name val="Arial"/>
      <family val="2"/>
    </font>
    <font>
      <b/>
      <sz val="22"/>
      <color indexed="9"/>
      <name val="Calibri"/>
      <family val="2"/>
      <scheme val="minor"/>
    </font>
    <font>
      <b/>
      <sz val="11"/>
      <color rgb="FF76923C"/>
      <name val="Calibri"/>
      <family val="2"/>
      <scheme val="minor"/>
    </font>
    <font>
      <b/>
      <sz val="11"/>
      <color rgb="FF5F4970"/>
      <name val="Calibri"/>
      <family val="2"/>
      <scheme val="minor"/>
    </font>
    <font>
      <b/>
      <sz val="11"/>
      <name val="Calibri"/>
      <family val="2"/>
      <scheme val="minor"/>
    </font>
    <font>
      <b/>
      <sz val="11"/>
      <color rgb="FF0070C0"/>
      <name val="Calibri"/>
      <family val="2"/>
      <scheme val="minor"/>
    </font>
    <font>
      <b/>
      <sz val="11"/>
      <color rgb="FF58AB27"/>
      <name val="Calibri"/>
      <family val="2"/>
      <scheme val="minor"/>
    </font>
    <font>
      <b/>
      <sz val="11"/>
      <color rgb="FF943634"/>
      <name val="Calibri"/>
      <family val="2"/>
      <scheme val="minor"/>
    </font>
    <font>
      <b/>
      <sz val="11"/>
      <color rgb="FF984806"/>
      <name val="Calibri"/>
      <family val="2"/>
      <scheme val="minor"/>
    </font>
    <font>
      <b/>
      <sz val="11"/>
      <color rgb="FFFFC000"/>
      <name val="Calibri"/>
      <family val="2"/>
      <scheme val="minor"/>
    </font>
    <font>
      <b/>
      <sz val="11"/>
      <color rgb="FF58AB27"/>
      <name val="Calibri"/>
      <family val="2"/>
    </font>
    <font>
      <b/>
      <sz val="11"/>
      <name val="Calibri"/>
      <family val="2"/>
    </font>
    <font>
      <b/>
      <sz val="11"/>
      <color theme="1"/>
      <name val="Calibri"/>
      <family val="2"/>
      <scheme val="minor"/>
    </font>
    <font>
      <sz val="10"/>
      <color theme="1" tint="0.14999847407452621"/>
      <name val="Arial"/>
      <family val="2"/>
    </font>
    <font>
      <b/>
      <sz val="14"/>
      <color theme="0"/>
      <name val="Arial"/>
      <family val="2"/>
    </font>
    <font>
      <b/>
      <sz val="10"/>
      <color rgb="FF943634"/>
      <name val="Arial"/>
      <family val="2"/>
    </font>
    <font>
      <b/>
      <sz val="14"/>
      <color rgb="FFFFC000"/>
      <name val="Calibri"/>
      <family val="2"/>
      <scheme val="minor"/>
    </font>
    <font>
      <sz val="11"/>
      <color rgb="FF4A442A"/>
      <name val="Calibri"/>
      <family val="2"/>
      <scheme val="minor"/>
    </font>
    <font>
      <u/>
      <sz val="12"/>
      <color rgb="FF5F4970"/>
      <name val="Arial"/>
      <family val="2"/>
    </font>
    <font>
      <u/>
      <sz val="12"/>
      <color rgb="FF58AB27"/>
      <name val="Arial"/>
      <family val="2"/>
    </font>
    <font>
      <u/>
      <sz val="12"/>
      <color rgb="FF943634"/>
      <name val="Arial"/>
      <family val="2"/>
    </font>
    <font>
      <vertAlign val="superscript"/>
      <sz val="10"/>
      <color indexed="9"/>
      <name val="Arial"/>
      <family val="2"/>
    </font>
    <font>
      <sz val="10"/>
      <color theme="1"/>
      <name val="Calibri"/>
      <family val="2"/>
    </font>
    <font>
      <sz val="10"/>
      <color rgb="FF943634"/>
      <name val="Arial"/>
      <family val="2"/>
    </font>
    <font>
      <b/>
      <sz val="10"/>
      <color indexed="9"/>
      <name val="Arial"/>
      <family val="2"/>
    </font>
    <font>
      <u/>
      <sz val="11"/>
      <color theme="10"/>
      <name val="Arial"/>
      <family val="2"/>
    </font>
    <font>
      <sz val="10"/>
      <color rgb="FF4A562A"/>
      <name val="Arial"/>
      <family val="2"/>
    </font>
    <font>
      <vertAlign val="subscript"/>
      <sz val="10"/>
      <name val="Arial"/>
      <family val="2"/>
    </font>
    <font>
      <vertAlign val="subscript"/>
      <sz val="10"/>
      <color theme="0"/>
      <name val="Arial"/>
      <family val="2"/>
    </font>
    <font>
      <i/>
      <sz val="10"/>
      <color rgb="FF4A562A"/>
      <name val="Arial"/>
      <family val="2"/>
    </font>
    <font>
      <u/>
      <sz val="12"/>
      <color rgb="FF76923C"/>
      <name val="Arial"/>
      <family val="2"/>
    </font>
    <font>
      <vertAlign val="superscript"/>
      <sz val="10"/>
      <name val="Arial"/>
      <family val="2"/>
    </font>
    <font>
      <u/>
      <sz val="12"/>
      <color rgb="FF984806"/>
      <name val="Arial"/>
      <family val="2"/>
    </font>
    <font>
      <vertAlign val="superscript"/>
      <sz val="10"/>
      <color rgb="FFFFFFFF"/>
      <name val="Arial"/>
      <family val="2"/>
    </font>
    <font>
      <u/>
      <sz val="14"/>
      <color theme="0"/>
      <name val="Calibri"/>
      <family val="2"/>
      <scheme val="minor"/>
    </font>
    <font>
      <i/>
      <sz val="11"/>
      <name val="Calibri"/>
      <family val="2"/>
      <scheme val="minor"/>
    </font>
    <font>
      <b/>
      <sz val="16"/>
      <color rgb="FF943634"/>
      <name val="Calibri"/>
      <family val="2"/>
      <scheme val="minor"/>
    </font>
    <font>
      <i/>
      <sz val="14"/>
      <color rgb="FF943634"/>
      <name val="Calibri"/>
      <family val="2"/>
      <scheme val="minor"/>
    </font>
    <font>
      <sz val="11"/>
      <color theme="1" tint="0.14999847407452621"/>
      <name val="Calibri"/>
      <family val="2"/>
      <scheme val="minor"/>
    </font>
    <font>
      <sz val="11"/>
      <color theme="1" tint="0.14999847407452621"/>
      <name val="Arial"/>
      <family val="2"/>
    </font>
    <font>
      <i/>
      <sz val="14"/>
      <name val="Calibri"/>
      <family val="2"/>
      <scheme val="minor"/>
    </font>
    <font>
      <i/>
      <sz val="12"/>
      <name val="Calibri"/>
      <family val="2"/>
      <scheme val="minor"/>
    </font>
    <font>
      <sz val="14"/>
      <name val="Calibri"/>
      <family val="2"/>
      <scheme val="minor"/>
    </font>
    <font>
      <b/>
      <sz val="10"/>
      <color rgb="FF58AB27"/>
      <name val="Arial"/>
      <family val="2"/>
    </font>
    <font>
      <sz val="7"/>
      <color rgb="FF000000"/>
      <name val="Arial"/>
      <family val="2"/>
    </font>
    <font>
      <b/>
      <vertAlign val="subscript"/>
      <sz val="10"/>
      <name val="Arial"/>
      <family val="2"/>
    </font>
    <font>
      <u/>
      <sz val="10"/>
      <name val="Arial"/>
      <family val="2"/>
    </font>
    <font>
      <u/>
      <sz val="11"/>
      <color theme="0"/>
      <name val="Calibri"/>
      <family val="2"/>
      <scheme val="minor"/>
    </font>
    <font>
      <b/>
      <sz val="22"/>
      <color theme="0"/>
      <name val="Calibri"/>
      <family val="2"/>
      <scheme val="minor"/>
    </font>
    <font>
      <vertAlign val="superscript"/>
      <sz val="11"/>
      <name val="Arial"/>
      <family val="2"/>
    </font>
    <font>
      <sz val="20"/>
      <color theme="0"/>
      <name val="Calibri"/>
      <family val="2"/>
      <scheme val="minor"/>
    </font>
    <font>
      <b/>
      <sz val="24"/>
      <color indexed="9"/>
      <name val="Calibri"/>
      <family val="2"/>
      <scheme val="minor"/>
    </font>
    <font>
      <sz val="18"/>
      <color theme="0"/>
      <name val="Calibri"/>
      <family val="2"/>
      <scheme val="minor"/>
    </font>
    <font>
      <b/>
      <sz val="14"/>
      <name val="Calibri"/>
      <family val="2"/>
      <scheme val="minor"/>
    </font>
    <font>
      <b/>
      <u/>
      <sz val="10"/>
      <name val="Arial"/>
      <family val="2"/>
    </font>
    <font>
      <i/>
      <sz val="10"/>
      <color rgb="FF58AB27"/>
      <name val="Arial"/>
      <family val="2"/>
    </font>
    <font>
      <sz val="11"/>
      <color rgb="FFFF0000"/>
      <name val="Calibri"/>
      <family val="2"/>
      <scheme val="minor"/>
    </font>
    <font>
      <u/>
      <sz val="22"/>
      <color rgb="FFFF0000"/>
      <name val="Calibri"/>
      <family val="2"/>
      <scheme val="minor"/>
    </font>
    <font>
      <sz val="22"/>
      <color rgb="FFFF0000"/>
      <name val="Calibri"/>
      <family val="2"/>
      <scheme val="minor"/>
    </font>
    <font>
      <sz val="8"/>
      <color rgb="FFFF0000"/>
      <name val="Arial"/>
      <family val="2"/>
    </font>
    <font>
      <sz val="12"/>
      <color theme="0"/>
      <name val="Calibri"/>
      <family val="2"/>
      <scheme val="minor"/>
    </font>
    <font>
      <i/>
      <sz val="10"/>
      <color rgb="FF5F4970"/>
      <name val="Arial"/>
      <family val="2"/>
    </font>
    <font>
      <sz val="10"/>
      <color rgb="FF5F4970"/>
      <name val="Arial"/>
      <family val="2"/>
    </font>
    <font>
      <i/>
      <vertAlign val="subscript"/>
      <sz val="10"/>
      <name val="Arial"/>
      <family val="2"/>
    </font>
    <font>
      <i/>
      <sz val="10"/>
      <color rgb="FF943634"/>
      <name val="Arial"/>
      <family val="2"/>
    </font>
    <font>
      <b/>
      <i/>
      <sz val="10"/>
      <color theme="1"/>
      <name val="Arial"/>
      <family val="2"/>
    </font>
    <font>
      <b/>
      <u/>
      <sz val="16"/>
      <color rgb="FFFFA500"/>
      <name val="Calibri"/>
      <family val="2"/>
      <scheme val="minor"/>
    </font>
    <font>
      <b/>
      <sz val="10"/>
      <color rgb="FFFFA500"/>
      <name val="Arial"/>
      <family val="2"/>
    </font>
    <font>
      <u/>
      <sz val="11"/>
      <color rgb="FF943634"/>
      <name val="Arial"/>
      <family val="2"/>
    </font>
    <font>
      <b/>
      <sz val="10"/>
      <color rgb="FFFFAF00"/>
      <name val="Arial"/>
      <family val="2"/>
    </font>
    <font>
      <sz val="10"/>
      <color rgb="FFFFAF00"/>
      <name val="Arial"/>
      <family val="2"/>
    </font>
    <font>
      <b/>
      <sz val="18"/>
      <color theme="0"/>
      <name val="Arial"/>
      <family val="2"/>
    </font>
    <font>
      <u/>
      <sz val="11"/>
      <color rgb="FF5F4970"/>
      <name val="Arial"/>
      <family val="2"/>
    </font>
    <font>
      <u/>
      <sz val="11"/>
      <color rgb="FF984806"/>
      <name val="Arial"/>
      <family val="2"/>
    </font>
    <font>
      <b/>
      <sz val="10"/>
      <color rgb="FF984806"/>
      <name val="Arial"/>
      <family val="2"/>
    </font>
    <font>
      <b/>
      <sz val="11"/>
      <color rgb="FF76923C"/>
      <name val="Arial"/>
      <family val="2"/>
    </font>
    <font>
      <b/>
      <sz val="11"/>
      <color rgb="FF984806"/>
      <name val="Arial"/>
      <family val="2"/>
    </font>
    <font>
      <b/>
      <sz val="11"/>
      <color rgb="FF943634"/>
      <name val="Arial"/>
      <family val="2"/>
    </font>
    <font>
      <b/>
      <sz val="11"/>
      <color rgb="FF0070C0"/>
      <name val="Arial"/>
      <family val="2"/>
    </font>
    <font>
      <i/>
      <sz val="11"/>
      <color theme="1"/>
      <name val="Arial"/>
      <family val="2"/>
    </font>
    <font>
      <b/>
      <sz val="11"/>
      <color rgb="FF58AB27"/>
      <name val="Arial"/>
      <family val="2"/>
    </font>
    <font>
      <b/>
      <sz val="10"/>
      <color rgb="FFFF0000"/>
      <name val="Arial"/>
      <family val="2"/>
    </font>
    <font>
      <sz val="22"/>
      <color rgb="FFFFFFFF"/>
      <name val="Arial"/>
      <family val="2"/>
    </font>
    <font>
      <sz val="24"/>
      <color rgb="FFFFFFFF"/>
      <name val="Calibri"/>
      <family val="2"/>
      <scheme val="minor"/>
    </font>
    <font>
      <sz val="14"/>
      <color rgb="FFFFFFFF"/>
      <name val="Arial"/>
      <family val="2"/>
    </font>
    <font>
      <vertAlign val="superscript"/>
      <sz val="11"/>
      <color theme="1"/>
      <name val="Arial"/>
      <family val="2"/>
    </font>
    <font>
      <i/>
      <sz val="10"/>
      <color theme="1"/>
      <name val="Arial"/>
      <family val="2"/>
    </font>
    <font>
      <u/>
      <sz val="11"/>
      <color rgb="FFFFFFFF"/>
      <name val="Arial"/>
      <family val="2"/>
    </font>
    <font>
      <sz val="10"/>
      <color rgb="FF0070C0"/>
      <name val="Arial"/>
      <family val="2"/>
    </font>
    <font>
      <sz val="10"/>
      <name val="Symbol"/>
      <family val="1"/>
      <charset val="2"/>
    </font>
    <font>
      <vertAlign val="subscript"/>
      <sz val="10"/>
      <color rgb="FFFFFFFF"/>
      <name val="Arial"/>
      <family val="2"/>
    </font>
    <font>
      <sz val="10"/>
      <color rgb="FF984806"/>
      <name val="Arial"/>
      <family val="2"/>
    </font>
    <font>
      <u/>
      <sz val="12"/>
      <name val="Arial"/>
      <family val="2"/>
    </font>
    <font>
      <sz val="11"/>
      <color rgb="FF76923C"/>
      <name val="Calibri"/>
      <family val="2"/>
      <scheme val="minor"/>
    </font>
    <font>
      <b/>
      <u/>
      <sz val="16"/>
      <color rgb="FF984806"/>
      <name val="Calibri"/>
      <family val="2"/>
      <scheme val="minor"/>
    </font>
    <font>
      <b/>
      <sz val="16"/>
      <color rgb="FF984806"/>
      <name val="Calibri"/>
      <family val="2"/>
      <scheme val="minor"/>
    </font>
    <font>
      <sz val="11"/>
      <color rgb="FF984806"/>
      <name val="Calibri"/>
      <family val="2"/>
      <scheme val="minor"/>
    </font>
    <font>
      <b/>
      <sz val="12"/>
      <color rgb="FF984806"/>
      <name val="Calibri"/>
      <family val="2"/>
      <scheme val="minor"/>
    </font>
    <font>
      <b/>
      <sz val="14"/>
      <color rgb="FF984806"/>
      <name val="Calibri"/>
      <family val="2"/>
      <scheme val="minor"/>
    </font>
    <font>
      <b/>
      <sz val="11"/>
      <color rgb="FF984806"/>
      <name val="Calibri"/>
      <family val="2"/>
    </font>
    <font>
      <b/>
      <sz val="36"/>
      <color rgb="FF984806"/>
      <name val="Calibri"/>
      <family val="2"/>
      <scheme val="minor"/>
    </font>
    <font>
      <sz val="20"/>
      <color rgb="FF984806"/>
      <name val="Arial"/>
      <family val="2"/>
    </font>
    <font>
      <vertAlign val="superscript"/>
      <sz val="11"/>
      <name val="Calibri"/>
      <family val="2"/>
      <scheme val="minor"/>
    </font>
    <font>
      <b/>
      <vertAlign val="subscript"/>
      <sz val="10"/>
      <color rgb="FF984806"/>
      <name val="Arial"/>
      <family val="2"/>
    </font>
    <font>
      <sz val="12"/>
      <color rgb="FF943634"/>
      <name val="Arial"/>
      <family val="2"/>
    </font>
    <font>
      <i/>
      <sz val="10"/>
      <color theme="1"/>
      <name val="Calibri"/>
      <family val="2"/>
      <scheme val="minor"/>
    </font>
    <font>
      <u/>
      <sz val="14"/>
      <name val="Calibri"/>
      <family val="2"/>
      <scheme val="minor"/>
    </font>
    <font>
      <b/>
      <sz val="12"/>
      <color theme="8" tint="-0.499984740745262"/>
      <name val="Arial"/>
      <family val="2"/>
    </font>
    <font>
      <b/>
      <sz val="12"/>
      <color rgb="FFFFA500"/>
      <name val="Arial"/>
      <family val="2"/>
    </font>
    <font>
      <b/>
      <sz val="12"/>
      <color theme="0" tint="-0.499984740745262"/>
      <name val="Arial"/>
      <family val="2"/>
    </font>
    <font>
      <b/>
      <sz val="10"/>
      <color rgb="FF5F4970"/>
      <name val="Arial"/>
      <family val="2"/>
    </font>
    <font>
      <b/>
      <u/>
      <sz val="11"/>
      <color rgb="FF5F4970"/>
      <name val="Arial"/>
      <family val="2"/>
    </font>
    <font>
      <sz val="10"/>
      <color rgb="FFFFA500"/>
      <name val="Arial"/>
      <family val="2"/>
    </font>
    <font>
      <b/>
      <sz val="10"/>
      <color rgb="FF76923C"/>
      <name val="Arial"/>
      <family val="2"/>
    </font>
    <font>
      <i/>
      <sz val="10"/>
      <color rgb="FF76923C"/>
      <name val="Arial"/>
      <family val="2"/>
    </font>
    <font>
      <b/>
      <sz val="11"/>
      <color rgb="FF5F4970"/>
      <name val="Arial"/>
      <family val="2"/>
    </font>
    <font>
      <sz val="8"/>
      <name val="Calibri"/>
      <family val="2"/>
      <scheme val="minor"/>
    </font>
    <font>
      <sz val="10"/>
      <color rgb="FF000000"/>
      <name val="Calibri"/>
      <family val="2"/>
    </font>
    <font>
      <b/>
      <sz val="12"/>
      <name val="Arial"/>
      <family val="2"/>
    </font>
    <font>
      <u/>
      <sz val="10"/>
      <color theme="10"/>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rgb="FF76923C"/>
        <bgColor indexed="64"/>
      </patternFill>
    </fill>
    <fill>
      <patternFill patternType="solid">
        <fgColor theme="0" tint="-0.249977111117893"/>
        <bgColor indexed="64"/>
      </patternFill>
    </fill>
    <fill>
      <patternFill patternType="solid">
        <fgColor rgb="FF984806"/>
        <bgColor indexed="64"/>
      </patternFill>
    </fill>
    <fill>
      <patternFill patternType="solid">
        <fgColor rgb="FF943634"/>
        <bgColor indexed="64"/>
      </patternFill>
    </fill>
    <fill>
      <patternFill patternType="solid">
        <fgColor rgb="FFFFC000"/>
        <bgColor indexed="64"/>
      </patternFill>
    </fill>
    <fill>
      <patternFill patternType="solid">
        <fgColor rgb="FF58B527"/>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5F4970"/>
        <bgColor indexed="64"/>
      </patternFill>
    </fill>
    <fill>
      <patternFill patternType="solid">
        <fgColor rgb="FFFFFFCC"/>
        <bgColor indexed="64"/>
      </patternFill>
    </fill>
    <fill>
      <patternFill patternType="solid">
        <fgColor rgb="FFD9D9D9"/>
        <bgColor indexed="64"/>
      </patternFill>
    </fill>
    <fill>
      <patternFill patternType="solid">
        <fgColor rgb="FF0070C0"/>
        <bgColor indexed="64"/>
      </patternFill>
    </fill>
    <fill>
      <patternFill patternType="solid">
        <fgColor rgb="FF0070C0"/>
        <bgColor indexed="22"/>
      </patternFill>
    </fill>
    <fill>
      <patternFill patternType="solid">
        <fgColor theme="7" tint="0.59999389629810485"/>
        <bgColor indexed="64"/>
      </patternFill>
    </fill>
    <fill>
      <patternFill patternType="solid">
        <fgColor rgb="FFF2F2F2"/>
        <bgColor indexed="64"/>
      </patternFill>
    </fill>
    <fill>
      <patternFill patternType="solid">
        <fgColor theme="5" tint="0.59999389629810485"/>
        <bgColor indexed="64"/>
      </patternFill>
    </fill>
    <fill>
      <patternFill patternType="solid">
        <fgColor rgb="FF58AB2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7F7F7F"/>
        <bgColor indexed="64"/>
      </patternFill>
    </fill>
    <fill>
      <patternFill patternType="solid">
        <fgColor rgb="FF5F497A"/>
        <bgColor indexed="64"/>
      </patternFill>
    </fill>
    <fill>
      <patternFill patternType="solid">
        <fgColor theme="5" tint="0.79998168889431442"/>
        <bgColor indexed="64"/>
      </patternFill>
    </fill>
    <fill>
      <patternFill patternType="solid">
        <fgColor rgb="FF4A562A"/>
        <bgColor indexed="64"/>
      </patternFill>
    </fill>
    <fill>
      <patternFill patternType="solid">
        <fgColor rgb="FFBFBFBF"/>
        <bgColor indexed="64"/>
      </patternFill>
    </fill>
    <fill>
      <patternFill patternType="solid">
        <fgColor theme="0" tint="-0.14996795556505021"/>
        <bgColor indexed="64"/>
      </patternFill>
    </fill>
    <fill>
      <patternFill patternType="solid">
        <fgColor rgb="FFFFAF00"/>
        <bgColor indexed="64"/>
      </patternFill>
    </fill>
    <fill>
      <patternFill patternType="solid">
        <fgColor rgb="FFFFA500"/>
        <bgColor indexed="64"/>
      </patternFill>
    </fill>
    <fill>
      <patternFill patternType="solid">
        <fgColor theme="6" tint="0.79998168889431442"/>
        <bgColor indexed="64"/>
      </patternFill>
    </fill>
  </fills>
  <borders count="145">
    <border>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rgb="FF92D050"/>
      </right>
      <top/>
      <bottom style="thin">
        <color theme="0" tint="-0.499984740745262"/>
      </bottom>
      <diagonal/>
    </border>
    <border>
      <left style="thin">
        <color theme="0"/>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thin">
        <color theme="0"/>
      </right>
      <top/>
      <bottom/>
      <diagonal/>
    </border>
    <border>
      <left/>
      <right/>
      <top style="thin">
        <color theme="0" tint="-0.34998626667073579"/>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left>
      <right/>
      <top style="thin">
        <color theme="0"/>
      </top>
      <bottom style="thin">
        <color theme="0" tint="-4.9989318521683403E-2"/>
      </bottom>
      <diagonal/>
    </border>
    <border>
      <left/>
      <right style="thin">
        <color theme="0"/>
      </right>
      <top style="thin">
        <color theme="0"/>
      </top>
      <bottom style="thin">
        <color theme="0" tint="-4.9989318521683403E-2"/>
      </bottom>
      <diagonal/>
    </border>
    <border>
      <left/>
      <right/>
      <top style="thin">
        <color theme="0" tint="-4.9989318521683403E-2"/>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rgb="FF000000"/>
      </left>
      <right/>
      <top style="thin">
        <color rgb="FF000000"/>
      </top>
      <bottom style="medium">
        <color rgb="FFFFFFFF"/>
      </bottom>
      <diagonal/>
    </border>
    <border>
      <left/>
      <right style="thin">
        <color rgb="FF000000"/>
      </right>
      <top style="thin">
        <color rgb="FF000000"/>
      </top>
      <bottom style="medium">
        <color rgb="FFFFFFFF"/>
      </bottom>
      <diagonal/>
    </border>
    <border>
      <left style="thin">
        <color rgb="FF000000"/>
      </left>
      <right style="medium">
        <color rgb="FFFFFFFF"/>
      </right>
      <top/>
      <bottom style="medium">
        <color rgb="FFFFFFFF"/>
      </bottom>
      <diagonal/>
    </border>
    <border>
      <left/>
      <right style="thin">
        <color rgb="FF000000"/>
      </right>
      <top/>
      <bottom style="medium">
        <color rgb="FFFFFFFF"/>
      </bottom>
      <diagonal/>
    </border>
    <border>
      <left style="thin">
        <color rgb="FF000000"/>
      </left>
      <right style="medium">
        <color rgb="FFFFFFFF"/>
      </right>
      <top/>
      <bottom style="thin">
        <color rgb="FF000000"/>
      </bottom>
      <diagonal/>
    </border>
    <border>
      <left/>
      <right style="thin">
        <color rgb="FF000000"/>
      </right>
      <top/>
      <bottom style="thin">
        <color rgb="FF000000"/>
      </bottom>
      <diagonal/>
    </border>
    <border>
      <left/>
      <right style="medium">
        <color rgb="FFFFFFFF"/>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diagonal/>
    </border>
    <border>
      <left/>
      <right style="medium">
        <color rgb="FFFFFFFF"/>
      </right>
      <top/>
      <bottom style="medium">
        <color rgb="FFFFFFFF"/>
      </bottom>
      <diagonal/>
    </border>
    <border>
      <left/>
      <right/>
      <top style="medium">
        <color rgb="FFFFFFFF"/>
      </top>
      <bottom/>
      <diagonal/>
    </border>
    <border>
      <left style="medium">
        <color rgb="FFFFFFFF"/>
      </left>
      <right/>
      <top style="medium">
        <color rgb="FFFFFFFF"/>
      </top>
      <bottom/>
      <diagonal/>
    </border>
    <border>
      <left style="medium">
        <color rgb="FFFFFFFF"/>
      </left>
      <right/>
      <top/>
      <bottom/>
      <diagonal/>
    </border>
    <border>
      <left style="thin">
        <color theme="1" tint="0.499984740745262"/>
      </left>
      <right style="thin">
        <color theme="0"/>
      </right>
      <top style="thin">
        <color theme="1" tint="0.499984740745262"/>
      </top>
      <bottom/>
      <diagonal/>
    </border>
    <border>
      <left style="thin">
        <color theme="1" tint="0.499984740745262"/>
      </left>
      <right style="thin">
        <color theme="0"/>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1" tint="0.499984740745262"/>
      </right>
      <top style="thin">
        <color theme="0" tint="-0.499984740745262"/>
      </top>
      <bottom style="thin">
        <color theme="1" tint="0.499984740745262"/>
      </bottom>
      <diagonal/>
    </border>
    <border>
      <left style="thin">
        <color theme="1" tint="0.499984740745262"/>
      </left>
      <right style="thin">
        <color theme="0"/>
      </right>
      <top/>
      <bottom/>
      <diagonal/>
    </border>
    <border>
      <left/>
      <right/>
      <top style="thin">
        <color theme="0"/>
      </top>
      <bottom style="thin">
        <color theme="0" tint="-4.9989318521683403E-2"/>
      </bottom>
      <diagonal/>
    </border>
    <border>
      <left style="thin">
        <color theme="0"/>
      </left>
      <right/>
      <top style="thin">
        <color theme="0" tint="-4.9989318521683403E-2"/>
      </top>
      <bottom style="thin">
        <color theme="0" tint="-4.9989318521683403E-2"/>
      </bottom>
      <diagonal/>
    </border>
    <border>
      <left/>
      <right style="thin">
        <color theme="0"/>
      </right>
      <top style="thin">
        <color theme="0" tint="-4.9989318521683403E-2"/>
      </top>
      <bottom style="thin">
        <color theme="0" tint="-4.9989318521683403E-2"/>
      </bottom>
      <diagonal/>
    </border>
    <border>
      <left style="thin">
        <color theme="0"/>
      </left>
      <right/>
      <top style="thin">
        <color theme="0" tint="-4.9989318521683403E-2"/>
      </top>
      <bottom/>
      <diagonal/>
    </border>
    <border>
      <left/>
      <right/>
      <top style="thin">
        <color theme="0" tint="-4.9989318521683403E-2"/>
      </top>
      <bottom/>
      <diagonal/>
    </border>
    <border>
      <left/>
      <right style="thin">
        <color theme="0"/>
      </right>
      <top style="thin">
        <color theme="0" tint="-4.9989318521683403E-2"/>
      </top>
      <bottom/>
      <diagonal/>
    </border>
    <border>
      <left style="thin">
        <color theme="0" tint="-4.9989318521683403E-2"/>
      </left>
      <right/>
      <top style="thin">
        <color theme="0" tint="-4.9989318521683403E-2"/>
      </top>
      <bottom style="thin">
        <color theme="0"/>
      </bottom>
      <diagonal/>
    </border>
    <border>
      <left/>
      <right/>
      <top style="thin">
        <color theme="0" tint="-4.9989318521683403E-2"/>
      </top>
      <bottom style="thin">
        <color theme="0"/>
      </bottom>
      <diagonal/>
    </border>
    <border>
      <left/>
      <right style="thin">
        <color theme="0" tint="-4.9989318521683403E-2"/>
      </right>
      <top style="thin">
        <color theme="0" tint="-4.9989318521683403E-2"/>
      </top>
      <bottom style="thin">
        <color theme="0"/>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right/>
      <top style="medium">
        <color rgb="FFFFFFFF"/>
      </top>
      <bottom style="medium">
        <color rgb="FFFFFFFF"/>
      </bottom>
      <diagonal/>
    </border>
    <border>
      <left/>
      <right style="thin">
        <color theme="0"/>
      </right>
      <top style="medium">
        <color rgb="FFFFFFFF"/>
      </top>
      <bottom/>
      <diagonal/>
    </border>
    <border>
      <left/>
      <right/>
      <top style="medium">
        <color rgb="FFFFFFFF"/>
      </top>
      <bottom style="thin">
        <color theme="0"/>
      </bottom>
      <diagonal/>
    </border>
    <border>
      <left/>
      <right style="medium">
        <color rgb="FFFFFFFF"/>
      </right>
      <top style="medium">
        <color rgb="FFFFFFFF"/>
      </top>
      <bottom style="thin">
        <color theme="0"/>
      </bottom>
      <diagonal/>
    </border>
    <border>
      <left style="medium">
        <color rgb="FFFFFFFF"/>
      </left>
      <right/>
      <top style="thin">
        <color theme="0"/>
      </top>
      <bottom/>
      <diagonal/>
    </border>
    <border>
      <left style="medium">
        <color rgb="FFFFFFFF"/>
      </left>
      <right/>
      <top style="thin">
        <color theme="0"/>
      </top>
      <bottom style="thin">
        <color theme="0"/>
      </bottom>
      <diagonal/>
    </border>
    <border>
      <left/>
      <right style="medium">
        <color rgb="FFFFFFFF"/>
      </right>
      <top style="thin">
        <color theme="0"/>
      </top>
      <bottom style="thin">
        <color theme="0"/>
      </bottom>
      <diagonal/>
    </border>
    <border>
      <left/>
      <right style="medium">
        <color rgb="FFFFFFFF"/>
      </right>
      <top style="thin">
        <color theme="0"/>
      </top>
      <bottom/>
      <diagonal/>
    </border>
    <border>
      <left style="medium">
        <color rgb="FFFFFFFF"/>
      </left>
      <right/>
      <top/>
      <bottom style="thin">
        <color theme="0"/>
      </bottom>
      <diagonal/>
    </border>
    <border>
      <left/>
      <right style="medium">
        <color rgb="FFFFFFFF"/>
      </right>
      <top/>
      <bottom style="thin">
        <color theme="0"/>
      </bottom>
      <diagonal/>
    </border>
    <border>
      <left style="thin">
        <color theme="0"/>
      </left>
      <right/>
      <top/>
      <bottom style="medium">
        <color rgb="FFFFFFFF"/>
      </bottom>
      <diagonal/>
    </border>
    <border>
      <left style="thin">
        <color theme="0"/>
      </left>
      <right/>
      <top style="medium">
        <color rgb="FFFFFFFF"/>
      </top>
      <bottom style="thin">
        <color theme="0"/>
      </bottom>
      <diagonal/>
    </border>
    <border>
      <left/>
      <right style="medium">
        <color theme="0" tint="-4.9989318521683403E-2"/>
      </right>
      <top style="medium">
        <color rgb="FFFFFFFF"/>
      </top>
      <bottom style="thin">
        <color theme="0"/>
      </bottom>
      <diagonal/>
    </border>
    <border>
      <left style="medium">
        <color theme="0" tint="-4.9989318521683403E-2"/>
      </left>
      <right/>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1" tint="0.499984740745262"/>
      </top>
      <bottom style="thin">
        <color theme="0" tint="-0.499984740745262"/>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0"/>
      </left>
      <right/>
      <top/>
      <bottom style="thin">
        <color theme="0" tint="-4.9989318521683403E-2"/>
      </bottom>
      <diagonal/>
    </border>
    <border>
      <left/>
      <right style="thin">
        <color theme="0"/>
      </right>
      <top/>
      <bottom style="thin">
        <color theme="0" tint="-4.9989318521683403E-2"/>
      </bottom>
      <diagonal/>
    </border>
    <border>
      <left style="thin">
        <color theme="0"/>
      </left>
      <right/>
      <top style="thin">
        <color theme="0" tint="-4.9989318521683403E-2"/>
      </top>
      <bottom style="thin">
        <color theme="0"/>
      </bottom>
      <diagonal/>
    </border>
    <border>
      <left/>
      <right style="thin">
        <color theme="0"/>
      </right>
      <top style="thin">
        <color theme="0" tint="-4.9989318521683403E-2"/>
      </top>
      <bottom style="thin">
        <color theme="0"/>
      </bottom>
      <diagonal/>
    </border>
    <border>
      <left/>
      <right style="thin">
        <color theme="8" tint="-0.499984740745262"/>
      </right>
      <top style="thin">
        <color theme="8" tint="-0.499984740745262"/>
      </top>
      <bottom/>
      <diagonal/>
    </border>
    <border>
      <left/>
      <right style="thin">
        <color theme="8" tint="-0.499984740745262"/>
      </right>
      <top/>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top/>
      <bottom style="thin">
        <color theme="8" tint="-0.499984740745262"/>
      </bottom>
      <diagonal/>
    </border>
    <border>
      <left style="thin">
        <color theme="8" tint="-0.499984740745262"/>
      </left>
      <right/>
      <top style="thin">
        <color theme="8" tint="-0.499984740745262"/>
      </top>
      <bottom/>
      <diagonal/>
    </border>
    <border>
      <left style="thin">
        <color theme="8" tint="-0.499984740745262"/>
      </left>
      <right/>
      <top/>
      <bottom/>
      <diagonal/>
    </border>
    <border>
      <left/>
      <right/>
      <top style="thin">
        <color theme="8" tint="-0.499984740745262"/>
      </top>
      <bottom/>
      <diagonal/>
    </border>
    <border>
      <left/>
      <right/>
      <top style="thin">
        <color rgb="FFFFC000"/>
      </top>
      <bottom/>
      <diagonal/>
    </border>
    <border>
      <left/>
      <right style="thin">
        <color rgb="FFFFC000"/>
      </right>
      <top style="thin">
        <color rgb="FFFFC000"/>
      </top>
      <bottom/>
      <diagonal/>
    </border>
    <border>
      <left/>
      <right style="thin">
        <color rgb="FFFFC000"/>
      </right>
      <top/>
      <bottom/>
      <diagonal/>
    </border>
    <border>
      <left/>
      <right/>
      <top/>
      <bottom style="thin">
        <color rgb="FFFFC000"/>
      </bottom>
      <diagonal/>
    </border>
    <border>
      <left/>
      <right style="thin">
        <color rgb="FFFFC000"/>
      </right>
      <top/>
      <bottom style="thin">
        <color rgb="FFFFC000"/>
      </bottom>
      <diagonal/>
    </border>
    <border>
      <left style="thin">
        <color rgb="FFFFC000"/>
      </left>
      <right/>
      <top style="thin">
        <color rgb="FFFFC000"/>
      </top>
      <bottom/>
      <diagonal/>
    </border>
    <border>
      <left style="thin">
        <color rgb="FFFFC000"/>
      </left>
      <right/>
      <top/>
      <bottom/>
      <diagonal/>
    </border>
    <border>
      <left style="thin">
        <color rgb="FFFFC000"/>
      </left>
      <right/>
      <top/>
      <bottom style="thin">
        <color rgb="FFFFC000"/>
      </bottom>
      <diagonal/>
    </border>
    <border>
      <left style="thin">
        <color theme="1" tint="0.499984740745262"/>
      </left>
      <right style="thin">
        <color theme="1" tint="0.499984740745262"/>
      </right>
      <top/>
      <bottom/>
      <diagonal/>
    </border>
    <border>
      <left style="thin">
        <color theme="0" tint="-4.9989318521683403E-2"/>
      </left>
      <right/>
      <top style="thin">
        <color theme="0" tint="-4.9989318521683403E-2"/>
      </top>
      <bottom/>
      <diagonal/>
    </border>
    <border>
      <left style="thin">
        <color theme="0"/>
      </left>
      <right style="thin">
        <color theme="0"/>
      </right>
      <top/>
      <bottom style="medium">
        <color theme="0"/>
      </bottom>
      <diagonal/>
    </border>
    <border>
      <left style="thin">
        <color theme="0"/>
      </left>
      <right/>
      <top style="thin">
        <color theme="0"/>
      </top>
      <bottom style="medium">
        <color theme="0"/>
      </bottom>
      <diagonal/>
    </border>
    <border>
      <left style="thin">
        <color theme="0"/>
      </left>
      <right style="thin">
        <color theme="0"/>
      </right>
      <top style="thin">
        <color theme="0"/>
      </top>
      <bottom style="medium">
        <color theme="0"/>
      </bottom>
      <diagonal/>
    </border>
    <border>
      <left/>
      <right style="thin">
        <color theme="0" tint="-4.9989318521683403E-2"/>
      </right>
      <top/>
      <bottom/>
      <diagonal/>
    </border>
  </borders>
  <cellStyleXfs count="8">
    <xf numFmtId="0" fontId="0" fillId="0" borderId="0"/>
    <xf numFmtId="9" fontId="1" fillId="0" borderId="0" applyFont="0" applyFill="0" applyBorder="0" applyAlignment="0" applyProtection="0"/>
    <xf numFmtId="0" fontId="2" fillId="0" borderId="0"/>
    <xf numFmtId="0" fontId="24" fillId="0" borderId="0" applyNumberFormat="0" applyFill="0" applyBorder="0" applyAlignment="0" applyProtection="0"/>
    <xf numFmtId="0" fontId="31" fillId="0" borderId="0"/>
    <xf numFmtId="0" fontId="47" fillId="0" borderId="0" applyNumberFormat="0" applyFill="0" applyBorder="0" applyAlignment="0" applyProtection="0">
      <alignment vertical="top"/>
      <protection locked="0"/>
    </xf>
    <xf numFmtId="0" fontId="2" fillId="0" borderId="0"/>
    <xf numFmtId="43" fontId="1" fillId="0" borderId="0" applyFont="0" applyFill="0" applyBorder="0" applyAlignment="0" applyProtection="0"/>
  </cellStyleXfs>
  <cellXfs count="2595">
    <xf numFmtId="0" fontId="0" fillId="0" borderId="0" xfId="0"/>
    <xf numFmtId="0" fontId="2" fillId="2" borderId="0" xfId="2" applyFont="1" applyFill="1"/>
    <xf numFmtId="0" fontId="3" fillId="2" borderId="0" xfId="2" applyFont="1" applyFill="1" applyAlignment="1">
      <alignment horizontal="center"/>
    </xf>
    <xf numFmtId="0" fontId="7" fillId="2" borderId="0" xfId="2" applyFont="1" applyFill="1" applyAlignment="1">
      <alignment horizontal="left" vertical="center" wrapText="1"/>
    </xf>
    <xf numFmtId="0" fontId="2" fillId="2" borderId="0" xfId="2" applyFill="1" applyBorder="1"/>
    <xf numFmtId="0" fontId="2" fillId="2" borderId="0" xfId="2" applyFill="1"/>
    <xf numFmtId="0" fontId="13" fillId="8" borderId="0" xfId="0"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6" fillId="9" borderId="4" xfId="2" applyFont="1" applyFill="1" applyBorder="1" applyAlignment="1" applyProtection="1">
      <alignment horizontal="center" vertical="center" wrapText="1"/>
      <protection hidden="1"/>
    </xf>
    <xf numFmtId="0" fontId="0" fillId="2" borderId="0" xfId="0" applyFill="1"/>
    <xf numFmtId="0" fontId="0" fillId="11" borderId="0" xfId="0" applyFill="1"/>
    <xf numFmtId="0" fontId="18" fillId="0" borderId="0" xfId="0" applyFont="1"/>
    <xf numFmtId="0" fontId="2" fillId="11" borderId="0" xfId="2" applyFont="1" applyFill="1" applyBorder="1"/>
    <xf numFmtId="0" fontId="2" fillId="11" borderId="0" xfId="2" applyFont="1" applyFill="1"/>
    <xf numFmtId="0" fontId="18" fillId="11" borderId="0" xfId="0" applyFont="1" applyFill="1"/>
    <xf numFmtId="0" fontId="18" fillId="11" borderId="0" xfId="0" applyFont="1" applyFill="1" applyBorder="1"/>
    <xf numFmtId="0" fontId="14" fillId="11" borderId="0" xfId="0" applyFont="1" applyFill="1" applyBorder="1"/>
    <xf numFmtId="0" fontId="21" fillId="11" borderId="0" xfId="0" applyFont="1" applyFill="1" applyBorder="1" applyAlignment="1">
      <alignment horizontal="left"/>
    </xf>
    <xf numFmtId="0" fontId="22" fillId="12" borderId="0" xfId="2" applyFont="1" applyFill="1" applyAlignment="1" applyProtection="1">
      <alignment wrapText="1"/>
      <protection hidden="1"/>
    </xf>
    <xf numFmtId="0" fontId="2" fillId="12" borderId="0" xfId="2" applyFill="1" applyAlignment="1" applyProtection="1">
      <alignment wrapText="1"/>
      <protection hidden="1"/>
    </xf>
    <xf numFmtId="0" fontId="23" fillId="11" borderId="0" xfId="0" applyFont="1" applyFill="1" applyAlignment="1" applyProtection="1">
      <alignment vertical="center"/>
      <protection hidden="1"/>
    </xf>
    <xf numFmtId="0" fontId="22" fillId="12" borderId="0" xfId="2" applyFont="1" applyFill="1" applyBorder="1" applyAlignment="1" applyProtection="1">
      <alignment wrapText="1"/>
      <protection hidden="1"/>
    </xf>
    <xf numFmtId="0" fontId="22" fillId="12" borderId="0" xfId="2" applyFont="1" applyFill="1" applyBorder="1" applyAlignment="1" applyProtection="1">
      <alignment horizontal="left" vertical="center" wrapText="1"/>
      <protection hidden="1"/>
    </xf>
    <xf numFmtId="0" fontId="2" fillId="12" borderId="0" xfId="2" applyFill="1" applyAlignment="1" applyProtection="1">
      <alignment vertical="center" wrapText="1"/>
      <protection hidden="1"/>
    </xf>
    <xf numFmtId="0" fontId="0" fillId="0" borderId="0" xfId="0" applyAlignment="1"/>
    <xf numFmtId="0" fontId="29" fillId="15" borderId="15" xfId="0" applyFont="1" applyFill="1" applyBorder="1" applyAlignment="1">
      <alignment horizontal="center" vertical="center" wrapText="1"/>
    </xf>
    <xf numFmtId="0" fontId="29"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22" fillId="12" borderId="0" xfId="2" applyFont="1" applyFill="1" applyAlignment="1" applyProtection="1">
      <alignment horizontal="center" vertical="center" wrapText="1"/>
      <protection hidden="1"/>
    </xf>
    <xf numFmtId="0" fontId="10" fillId="16" borderId="0" xfId="0" applyFont="1" applyFill="1" applyBorder="1" applyAlignment="1" applyProtection="1">
      <alignment vertical="center"/>
      <protection hidden="1"/>
    </xf>
    <xf numFmtId="0" fontId="21" fillId="0" borderId="1" xfId="2" applyFont="1" applyFill="1" applyBorder="1" applyAlignment="1">
      <alignment horizontal="center" vertical="center"/>
    </xf>
    <xf numFmtId="0" fontId="0" fillId="11" borderId="0" xfId="0" applyFill="1" applyProtection="1">
      <protection hidden="1"/>
    </xf>
    <xf numFmtId="0" fontId="0" fillId="0" borderId="0" xfId="0" applyProtection="1">
      <protection hidden="1"/>
    </xf>
    <xf numFmtId="0" fontId="0" fillId="11" borderId="0" xfId="0" applyFill="1" applyAlignment="1" applyProtection="1">
      <alignment vertical="top" wrapText="1"/>
      <protection hidden="1"/>
    </xf>
    <xf numFmtId="0" fontId="38" fillId="11" borderId="0" xfId="0" applyFont="1" applyFill="1" applyProtection="1">
      <protection hidden="1"/>
    </xf>
    <xf numFmtId="0" fontId="0" fillId="11" borderId="0" xfId="0" applyFill="1" applyAlignment="1" applyProtection="1">
      <alignment horizontal="left" vertical="top" wrapText="1"/>
      <protection hidden="1"/>
    </xf>
    <xf numFmtId="0" fontId="0" fillId="19" borderId="0" xfId="0" applyFill="1" applyProtection="1">
      <protection hidden="1"/>
    </xf>
    <xf numFmtId="0" fontId="2" fillId="6" borderId="0" xfId="2" applyFont="1" applyFill="1"/>
    <xf numFmtId="0" fontId="11" fillId="13" borderId="0" xfId="2" applyFont="1" applyFill="1"/>
    <xf numFmtId="0" fontId="11" fillId="3" borderId="0" xfId="2" applyFont="1" applyFill="1"/>
    <xf numFmtId="0" fontId="10" fillId="6" borderId="0" xfId="0" applyFont="1" applyFill="1" applyBorder="1" applyAlignment="1" applyProtection="1">
      <alignment vertical="center"/>
      <protection hidden="1"/>
    </xf>
    <xf numFmtId="0" fontId="13" fillId="6" borderId="0" xfId="0" applyFont="1" applyFill="1" applyBorder="1" applyAlignment="1" applyProtection="1">
      <alignment horizontal="center" vertical="center"/>
      <protection hidden="1"/>
    </xf>
    <xf numFmtId="0" fontId="2" fillId="2" borderId="0" xfId="2" applyFill="1" applyProtection="1">
      <protection hidden="1"/>
    </xf>
    <xf numFmtId="0" fontId="2" fillId="2" borderId="0" xfId="2" applyFill="1" applyBorder="1" applyProtection="1">
      <protection hidden="1"/>
    </xf>
    <xf numFmtId="0" fontId="19" fillId="6" borderId="27" xfId="2" applyFont="1" applyFill="1" applyBorder="1" applyAlignment="1" applyProtection="1">
      <alignment horizontal="center" vertical="center" wrapText="1"/>
      <protection hidden="1"/>
    </xf>
    <xf numFmtId="0" fontId="35" fillId="8" borderId="0" xfId="0" applyFont="1" applyFill="1" applyBorder="1" applyAlignment="1" applyProtection="1">
      <alignment vertical="center"/>
      <protection hidden="1"/>
    </xf>
    <xf numFmtId="0" fontId="21" fillId="11" borderId="1" xfId="2" applyFont="1" applyFill="1" applyBorder="1" applyAlignment="1" applyProtection="1">
      <alignment horizontal="center" vertical="center"/>
      <protection hidden="1"/>
    </xf>
    <xf numFmtId="0" fontId="19" fillId="3" borderId="27" xfId="2" applyFont="1" applyFill="1" applyBorder="1" applyAlignment="1" applyProtection="1">
      <alignment horizontal="center" vertical="center" wrapText="1"/>
      <protection hidden="1"/>
    </xf>
    <xf numFmtId="0" fontId="0" fillId="11" borderId="0" xfId="0" applyFill="1" applyAlignment="1" applyProtection="1">
      <alignment horizontal="left" vertical="top" wrapText="1"/>
      <protection hidden="1"/>
    </xf>
    <xf numFmtId="0" fontId="19" fillId="5" borderId="27" xfId="2" applyFont="1" applyFill="1" applyBorder="1" applyAlignment="1" applyProtection="1">
      <alignment horizontal="center" vertical="center" wrapText="1"/>
      <protection hidden="1"/>
    </xf>
    <xf numFmtId="0" fontId="0" fillId="0" borderId="0" xfId="0" applyProtection="1">
      <protection locked="0" hidden="1"/>
    </xf>
    <xf numFmtId="0" fontId="2" fillId="4" borderId="4" xfId="2" applyFont="1" applyFill="1" applyBorder="1" applyAlignment="1" applyProtection="1">
      <alignment horizontal="center" vertical="center" wrapText="1"/>
      <protection hidden="1"/>
    </xf>
    <xf numFmtId="0" fontId="35" fillId="16" borderId="0" xfId="0" applyFont="1" applyFill="1" applyBorder="1" applyAlignment="1" applyProtection="1">
      <alignment vertical="center"/>
      <protection hidden="1"/>
    </xf>
    <xf numFmtId="0" fontId="19" fillId="16" borderId="27" xfId="2" applyFont="1" applyFill="1" applyBorder="1" applyAlignment="1" applyProtection="1">
      <alignment horizontal="center" vertical="center" wrapText="1"/>
      <protection hidden="1"/>
    </xf>
    <xf numFmtId="0" fontId="2" fillId="2" borderId="0" xfId="2" applyFill="1" applyBorder="1" applyAlignment="1" applyProtection="1">
      <protection hidden="1"/>
    </xf>
    <xf numFmtId="0" fontId="21" fillId="2" borderId="0" xfId="2" applyFont="1" applyFill="1" applyBorder="1" applyAlignment="1" applyProtection="1">
      <alignment horizontal="left" vertical="center" indent="1"/>
      <protection hidden="1"/>
    </xf>
    <xf numFmtId="0" fontId="21" fillId="9" borderId="4" xfId="4" applyNumberFormat="1" applyFont="1" applyFill="1" applyBorder="1" applyAlignment="1" applyProtection="1">
      <alignment horizontal="center" vertical="center"/>
      <protection hidden="1"/>
    </xf>
    <xf numFmtId="164" fontId="6" fillId="9" borderId="4" xfId="1" applyNumberFormat="1" applyFont="1" applyFill="1" applyBorder="1" applyAlignment="1" applyProtection="1">
      <alignment horizontal="center" vertical="center"/>
      <protection hidden="1"/>
    </xf>
    <xf numFmtId="0" fontId="21" fillId="0" borderId="2" xfId="2" applyFont="1" applyFill="1" applyBorder="1" applyAlignment="1" applyProtection="1">
      <alignment horizontal="center" vertical="center"/>
      <protection hidden="1"/>
    </xf>
    <xf numFmtId="0" fontId="14" fillId="4" borderId="4" xfId="0" applyFont="1" applyFill="1" applyBorder="1" applyAlignment="1" applyProtection="1">
      <alignment horizontal="left" indent="1"/>
      <protection hidden="1"/>
    </xf>
    <xf numFmtId="164" fontId="8" fillId="9" borderId="4" xfId="1" applyNumberFormat="1" applyFont="1" applyFill="1" applyBorder="1" applyAlignment="1" applyProtection="1">
      <alignment horizontal="center" vertical="center" wrapText="1"/>
      <protection hidden="1"/>
    </xf>
    <xf numFmtId="0" fontId="11" fillId="16" borderId="4" xfId="0" applyFont="1" applyFill="1" applyBorder="1" applyAlignment="1" applyProtection="1">
      <alignment vertical="center"/>
      <protection hidden="1"/>
    </xf>
    <xf numFmtId="0" fontId="2" fillId="2" borderId="0" xfId="2" applyFill="1" applyAlignment="1" applyProtection="1">
      <alignment horizontal="center"/>
      <protection hidden="1"/>
    </xf>
    <xf numFmtId="10" fontId="8" fillId="9" borderId="4" xfId="1" applyNumberFormat="1" applyFont="1" applyFill="1" applyBorder="1" applyAlignment="1" applyProtection="1">
      <alignment horizontal="center" vertical="center" wrapText="1"/>
      <protection hidden="1"/>
    </xf>
    <xf numFmtId="0" fontId="0" fillId="0" borderId="0" xfId="0" applyProtection="1">
      <protection locked="0"/>
    </xf>
    <xf numFmtId="0" fontId="21" fillId="2" borderId="0" xfId="2" applyFont="1" applyFill="1" applyBorder="1" applyAlignment="1" applyProtection="1">
      <alignment horizontal="center" vertical="center"/>
      <protection hidden="1"/>
    </xf>
    <xf numFmtId="0" fontId="5" fillId="16" borderId="0" xfId="2" applyFont="1" applyFill="1" applyAlignment="1">
      <alignment horizontal="left" vertical="center" wrapText="1" indent="11"/>
    </xf>
    <xf numFmtId="0" fontId="19" fillId="21" borderId="27" xfId="2" applyFont="1" applyFill="1" applyBorder="1" applyAlignment="1" applyProtection="1">
      <alignment horizontal="center" vertical="center" wrapText="1"/>
      <protection hidden="1"/>
    </xf>
    <xf numFmtId="0" fontId="35" fillId="21" borderId="0" xfId="0" applyFont="1" applyFill="1" applyBorder="1" applyAlignment="1" applyProtection="1">
      <alignment vertical="center"/>
      <protection hidden="1"/>
    </xf>
    <xf numFmtId="0" fontId="8" fillId="10" borderId="4" xfId="0" applyFont="1" applyFill="1" applyBorder="1" applyAlignment="1" applyProtection="1">
      <alignment horizontal="center" vertical="center"/>
      <protection hidden="1"/>
    </xf>
    <xf numFmtId="0" fontId="5" fillId="16" borderId="3" xfId="0" applyFont="1" applyFill="1" applyBorder="1" applyAlignment="1" applyProtection="1">
      <alignment vertical="center"/>
      <protection hidden="1"/>
    </xf>
    <xf numFmtId="0" fontId="5" fillId="16" borderId="28" xfId="0" applyFont="1" applyFill="1" applyBorder="1" applyAlignment="1" applyProtection="1">
      <alignment horizontal="center" vertical="center"/>
      <protection hidden="1"/>
    </xf>
    <xf numFmtId="0" fontId="5" fillId="16" borderId="32" xfId="0" applyFont="1" applyFill="1" applyBorder="1" applyAlignment="1" applyProtection="1">
      <alignment horizontal="left" vertical="center" indent="1"/>
      <protection hidden="1"/>
    </xf>
    <xf numFmtId="0" fontId="5" fillId="21" borderId="0" xfId="2" applyFont="1" applyFill="1" applyAlignment="1">
      <alignment horizontal="left" vertical="center" wrapText="1" indent="11"/>
    </xf>
    <xf numFmtId="0" fontId="5" fillId="21" borderId="28" xfId="0" applyFont="1" applyFill="1" applyBorder="1" applyAlignment="1" applyProtection="1">
      <alignment horizontal="center" vertical="center"/>
      <protection hidden="1"/>
    </xf>
    <xf numFmtId="0" fontId="5" fillId="16" borderId="0" xfId="2" applyFont="1" applyFill="1" applyAlignment="1">
      <alignment vertical="top" wrapText="1"/>
    </xf>
    <xf numFmtId="0" fontId="5" fillId="13" borderId="0" xfId="2" applyFont="1" applyFill="1" applyAlignment="1">
      <alignment horizontal="left" vertical="center" wrapText="1" indent="11"/>
    </xf>
    <xf numFmtId="0" fontId="5" fillId="13" borderId="0" xfId="2" applyFont="1" applyFill="1" applyAlignment="1">
      <alignment vertical="top" wrapText="1"/>
    </xf>
    <xf numFmtId="0" fontId="5" fillId="13" borderId="3" xfId="0" applyFont="1" applyFill="1" applyBorder="1" applyAlignment="1" applyProtection="1">
      <alignment vertical="center"/>
      <protection hidden="1"/>
    </xf>
    <xf numFmtId="0" fontId="5" fillId="13" borderId="28" xfId="0" applyFont="1" applyFill="1" applyBorder="1" applyAlignment="1" applyProtection="1">
      <alignment horizontal="center" vertical="center"/>
      <protection hidden="1"/>
    </xf>
    <xf numFmtId="0" fontId="5" fillId="13" borderId="32" xfId="0" applyFont="1" applyFill="1" applyBorder="1" applyAlignment="1" applyProtection="1">
      <alignment horizontal="left" vertical="center" indent="1"/>
      <protection hidden="1"/>
    </xf>
    <xf numFmtId="0" fontId="5" fillId="6" borderId="32" xfId="0" applyFont="1" applyFill="1" applyBorder="1" applyAlignment="1" applyProtection="1">
      <alignment horizontal="left" vertical="center" indent="1"/>
      <protection hidden="1"/>
    </xf>
    <xf numFmtId="0" fontId="5" fillId="6" borderId="3" xfId="0" applyFont="1" applyFill="1" applyBorder="1" applyAlignment="1" applyProtection="1">
      <alignment vertical="center"/>
      <protection hidden="1"/>
    </xf>
    <xf numFmtId="0" fontId="5" fillId="6" borderId="28" xfId="0" applyFont="1" applyFill="1" applyBorder="1" applyAlignment="1" applyProtection="1">
      <alignment horizontal="center" vertical="center"/>
      <protection hidden="1"/>
    </xf>
    <xf numFmtId="0" fontId="5" fillId="3" borderId="0" xfId="2" applyFont="1" applyFill="1" applyAlignment="1">
      <alignment horizontal="left" vertical="center" wrapText="1" indent="11"/>
    </xf>
    <xf numFmtId="0" fontId="5" fillId="3" borderId="28" xfId="0" applyFont="1" applyFill="1" applyBorder="1" applyAlignment="1" applyProtection="1">
      <alignment horizontal="center" vertical="center"/>
      <protection hidden="1"/>
    </xf>
    <xf numFmtId="0" fontId="5" fillId="5" borderId="28" xfId="0" applyFont="1" applyFill="1" applyBorder="1" applyAlignment="1" applyProtection="1">
      <alignment horizontal="center" vertical="center"/>
      <protection hidden="1"/>
    </xf>
    <xf numFmtId="0" fontId="9" fillId="16" borderId="0" xfId="0" applyFont="1" applyFill="1" applyBorder="1" applyAlignment="1" applyProtection="1">
      <alignment horizontal="left" vertical="center"/>
      <protection hidden="1"/>
    </xf>
    <xf numFmtId="0" fontId="5" fillId="7" borderId="32" xfId="0" applyFont="1" applyFill="1" applyBorder="1" applyAlignment="1" applyProtection="1">
      <alignment horizontal="left" vertical="center" indent="1"/>
      <protection hidden="1"/>
    </xf>
    <xf numFmtId="0" fontId="5" fillId="7" borderId="3" xfId="0" applyFont="1" applyFill="1" applyBorder="1" applyAlignment="1" applyProtection="1">
      <alignment vertical="center"/>
      <protection hidden="1"/>
    </xf>
    <xf numFmtId="0" fontId="5" fillId="7" borderId="28" xfId="0" applyFont="1" applyFill="1" applyBorder="1" applyAlignment="1" applyProtection="1">
      <alignment horizontal="center" vertical="center"/>
      <protection hidden="1"/>
    </xf>
    <xf numFmtId="0" fontId="0" fillId="10" borderId="0" xfId="0" applyFill="1"/>
    <xf numFmtId="10" fontId="8" fillId="9" borderId="4" xfId="1" applyNumberFormat="1" applyFont="1" applyFill="1" applyBorder="1" applyAlignment="1" applyProtection="1">
      <alignment horizontal="center" vertical="center"/>
      <protection hidden="1"/>
    </xf>
    <xf numFmtId="0" fontId="50" fillId="10"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protection locked="0"/>
    </xf>
    <xf numFmtId="0" fontId="5" fillId="21" borderId="0" xfId="2" applyFont="1" applyFill="1" applyAlignment="1">
      <alignment horizontal="left" vertical="top" wrapText="1"/>
    </xf>
    <xf numFmtId="0" fontId="4" fillId="21" borderId="4" xfId="0" applyFont="1" applyFill="1" applyBorder="1" applyAlignment="1">
      <alignment horizontal="center" vertical="center"/>
    </xf>
    <xf numFmtId="0" fontId="2" fillId="11" borderId="38" xfId="2" applyFill="1" applyBorder="1" applyProtection="1">
      <protection hidden="1"/>
    </xf>
    <xf numFmtId="0" fontId="2" fillId="11" borderId="40" xfId="2" applyFill="1" applyBorder="1" applyProtection="1">
      <protection hidden="1"/>
    </xf>
    <xf numFmtId="0" fontId="2" fillId="11" borderId="24" xfId="2" applyFill="1" applyBorder="1" applyProtection="1">
      <protection hidden="1"/>
    </xf>
    <xf numFmtId="0" fontId="4" fillId="16" borderId="10" xfId="0" applyFont="1" applyFill="1" applyBorder="1" applyAlignment="1" applyProtection="1">
      <alignment horizontal="center" vertical="center"/>
      <protection hidden="1"/>
    </xf>
    <xf numFmtId="0" fontId="4" fillId="6" borderId="41" xfId="0" applyFont="1" applyFill="1" applyBorder="1" applyAlignment="1" applyProtection="1">
      <alignment horizontal="center" vertical="center"/>
      <protection hidden="1"/>
    </xf>
    <xf numFmtId="0" fontId="6" fillId="9" borderId="41" xfId="2" applyFont="1" applyFill="1" applyBorder="1" applyAlignment="1" applyProtection="1">
      <alignment horizontal="center" vertical="center" wrapText="1"/>
      <protection hidden="1"/>
    </xf>
    <xf numFmtId="0" fontId="4" fillId="6" borderId="41" xfId="0" applyFont="1" applyFill="1" applyBorder="1" applyAlignment="1">
      <alignment horizontal="center" vertical="center"/>
    </xf>
    <xf numFmtId="10" fontId="0" fillId="0" borderId="0" xfId="0" applyNumberFormat="1"/>
    <xf numFmtId="0" fontId="14" fillId="20" borderId="28" xfId="0" applyFont="1" applyFill="1" applyBorder="1" applyAlignment="1" applyProtection="1">
      <alignment horizontal="center" vertical="center" wrapText="1"/>
      <protection locked="0"/>
    </xf>
    <xf numFmtId="0" fontId="21" fillId="2" borderId="0" xfId="2" applyFont="1" applyFill="1" applyBorder="1" applyProtection="1">
      <protection hidden="1"/>
    </xf>
    <xf numFmtId="0" fontId="4" fillId="16" borderId="4" xfId="0" applyFont="1" applyFill="1" applyBorder="1" applyAlignment="1">
      <alignment horizontal="center" vertical="center"/>
    </xf>
    <xf numFmtId="0" fontId="2" fillId="22" borderId="0" xfId="2" applyFill="1" applyProtection="1">
      <protection hidden="1"/>
    </xf>
    <xf numFmtId="0" fontId="2" fillId="23" borderId="0" xfId="2" applyFill="1" applyProtection="1">
      <protection hidden="1"/>
    </xf>
    <xf numFmtId="0" fontId="8" fillId="9" borderId="4" xfId="2" applyNumberFormat="1" applyFont="1" applyFill="1" applyBorder="1" applyAlignment="1" applyProtection="1">
      <alignment horizontal="center" vertical="center" wrapText="1"/>
      <protection hidden="1"/>
    </xf>
    <xf numFmtId="0" fontId="2" fillId="2" borderId="0" xfId="2" applyFont="1" applyFill="1" applyBorder="1" applyProtection="1">
      <protection hidden="1"/>
    </xf>
    <xf numFmtId="0" fontId="2" fillId="22" borderId="0" xfId="2" applyFill="1" applyBorder="1" applyProtection="1">
      <protection hidden="1"/>
    </xf>
    <xf numFmtId="0" fontId="2" fillId="23" borderId="0" xfId="2" applyFill="1" applyBorder="1" applyProtection="1">
      <protection hidden="1"/>
    </xf>
    <xf numFmtId="0" fontId="4" fillId="21" borderId="4" xfId="0" applyFont="1" applyFill="1" applyBorder="1" applyAlignment="1" applyProtection="1">
      <alignment horizontal="center" vertical="center"/>
      <protection hidden="1"/>
    </xf>
    <xf numFmtId="2" fontId="8" fillId="9" borderId="4" xfId="2" applyNumberFormat="1" applyFont="1" applyFill="1" applyBorder="1" applyAlignment="1" applyProtection="1">
      <alignment horizontal="center" vertical="center" wrapText="1"/>
      <protection hidden="1"/>
    </xf>
    <xf numFmtId="0" fontId="60" fillId="2" borderId="0" xfId="3" applyFont="1" applyFill="1" applyAlignment="1" applyProtection="1">
      <alignment horizontal="center"/>
      <protection hidden="1"/>
    </xf>
    <xf numFmtId="0" fontId="63" fillId="2" borderId="0" xfId="3" applyFont="1" applyFill="1" applyAlignment="1" applyProtection="1">
      <alignment horizontal="center"/>
      <protection hidden="1"/>
    </xf>
    <xf numFmtId="0" fontId="2" fillId="20" borderId="4" xfId="4" applyNumberFormat="1"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21" fillId="11" borderId="1" xfId="2"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protection hidden="1"/>
    </xf>
    <xf numFmtId="0" fontId="64" fillId="0" borderId="0" xfId="0" applyFont="1"/>
    <xf numFmtId="0" fontId="64" fillId="0" borderId="0" xfId="0" applyFont="1" applyAlignment="1"/>
    <xf numFmtId="0" fontId="66"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0" fontId="5" fillId="3" borderId="0" xfId="2" applyFont="1" applyFill="1" applyAlignment="1">
      <alignment vertical="top" wrapText="1"/>
    </xf>
    <xf numFmtId="0" fontId="4" fillId="3" borderId="4" xfId="0" applyFont="1" applyFill="1" applyBorder="1" applyAlignment="1" applyProtection="1">
      <alignment horizontal="center" vertical="center"/>
      <protection hidden="1"/>
    </xf>
    <xf numFmtId="0" fontId="4" fillId="6" borderId="4" xfId="0" applyFont="1" applyFill="1" applyBorder="1" applyAlignment="1" applyProtection="1">
      <alignment horizontal="center" vertical="center"/>
      <protection hidden="1"/>
    </xf>
    <xf numFmtId="0" fontId="4" fillId="6" borderId="4" xfId="0" applyFont="1" applyFill="1" applyBorder="1" applyAlignment="1">
      <alignment horizontal="center" vertical="center"/>
    </xf>
    <xf numFmtId="0" fontId="4" fillId="3" borderId="4" xfId="0" applyFont="1" applyFill="1" applyBorder="1" applyAlignment="1">
      <alignment horizontal="center" vertical="center"/>
    </xf>
    <xf numFmtId="0" fontId="21" fillId="11" borderId="1" xfId="2"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wrapText="1"/>
      <protection hidden="1"/>
    </xf>
    <xf numFmtId="20" fontId="2" fillId="11" borderId="0" xfId="2" applyNumberFormat="1" applyFont="1" applyFill="1"/>
    <xf numFmtId="20" fontId="2" fillId="2" borderId="0" xfId="2" applyNumberFormat="1" applyFill="1" applyProtection="1">
      <protection hidden="1"/>
    </xf>
    <xf numFmtId="3" fontId="14" fillId="20" borderId="10" xfId="0" applyNumberFormat="1" applyFont="1" applyFill="1" applyBorder="1" applyAlignment="1" applyProtection="1">
      <alignment horizontal="center" vertical="center" wrapText="1"/>
      <protection locked="0"/>
    </xf>
    <xf numFmtId="0" fontId="14" fillId="20" borderId="41" xfId="0" applyFont="1" applyFill="1" applyBorder="1" applyAlignment="1" applyProtection="1">
      <alignment horizontal="center" vertical="center" wrapText="1"/>
      <protection locked="0"/>
    </xf>
    <xf numFmtId="0" fontId="4" fillId="5" borderId="41" xfId="0" applyFont="1" applyFill="1" applyBorder="1" applyAlignment="1" applyProtection="1">
      <alignment horizontal="center" vertical="center"/>
      <protection hidden="1"/>
    </xf>
    <xf numFmtId="10" fontId="8" fillId="9" borderId="41" xfId="1" applyNumberFormat="1"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5" fillId="13" borderId="0" xfId="2" applyFont="1" applyFill="1" applyAlignment="1">
      <alignment horizontal="center" vertical="center" wrapText="1"/>
    </xf>
    <xf numFmtId="0" fontId="45" fillId="13" borderId="0" xfId="2" applyFont="1" applyFill="1" applyAlignment="1">
      <alignment horizontal="left" vertical="center"/>
    </xf>
    <xf numFmtId="0" fontId="5" fillId="13" borderId="0" xfId="2" applyFont="1" applyFill="1" applyAlignment="1">
      <alignment horizontal="left" vertical="top" wrapText="1"/>
    </xf>
    <xf numFmtId="0" fontId="45" fillId="3" borderId="0" xfId="2" applyFont="1" applyFill="1" applyAlignment="1">
      <alignment horizontal="left" vertical="center" wrapText="1"/>
    </xf>
    <xf numFmtId="0" fontId="5" fillId="3" borderId="0" xfId="2" applyFont="1" applyFill="1" applyAlignment="1">
      <alignment horizontal="left" vertical="center" wrapText="1"/>
    </xf>
    <xf numFmtId="0" fontId="35" fillId="16" borderId="0" xfId="0" applyFont="1" applyFill="1" applyBorder="1" applyAlignment="1" applyProtection="1">
      <alignment horizontal="left" vertical="center" indent="1"/>
      <protection hidden="1"/>
    </xf>
    <xf numFmtId="0" fontId="21" fillId="11" borderId="1" xfId="2" applyFont="1" applyFill="1" applyBorder="1" applyAlignment="1" applyProtection="1">
      <alignment horizontal="center" vertical="center"/>
      <protection hidden="1"/>
    </xf>
    <xf numFmtId="0" fontId="0" fillId="11" borderId="0" xfId="0" applyFont="1" applyFill="1" applyProtection="1">
      <protection hidden="1"/>
    </xf>
    <xf numFmtId="0" fontId="0" fillId="0" borderId="0" xfId="0" applyFont="1"/>
    <xf numFmtId="0" fontId="71" fillId="11" borderId="0" xfId="0" applyFont="1" applyFill="1" applyProtection="1">
      <protection hidden="1"/>
    </xf>
    <xf numFmtId="0" fontId="0" fillId="11" borderId="0" xfId="0" applyFont="1" applyFill="1" applyAlignment="1" applyProtection="1">
      <alignment vertical="top" wrapText="1"/>
      <protection hidden="1"/>
    </xf>
    <xf numFmtId="0" fontId="4" fillId="5" borderId="4" xfId="0" applyFont="1" applyFill="1" applyBorder="1" applyAlignment="1" applyProtection="1">
      <alignment horizontal="center" vertical="center"/>
      <protection hidden="1"/>
    </xf>
    <xf numFmtId="0" fontId="5" fillId="13" borderId="0" xfId="2" applyFont="1" applyFill="1" applyAlignment="1">
      <alignment horizontal="left" vertical="top" wrapText="1"/>
    </xf>
    <xf numFmtId="0" fontId="35" fillId="21" borderId="0" xfId="0" applyFont="1" applyFill="1" applyBorder="1" applyAlignment="1" applyProtection="1">
      <alignment horizontal="left" vertical="center" indent="1"/>
      <protection hidden="1"/>
    </xf>
    <xf numFmtId="2" fontId="8" fillId="9" borderId="4" xfId="1" applyNumberFormat="1" applyFont="1" applyFill="1" applyBorder="1" applyAlignment="1" applyProtection="1">
      <alignment horizontal="center" vertical="center" wrapText="1"/>
      <protection hidden="1"/>
    </xf>
    <xf numFmtId="0" fontId="62" fillId="2" borderId="0" xfId="2" applyFont="1" applyFill="1" applyAlignment="1" applyProtection="1">
      <alignment vertical="center" wrapText="1"/>
      <protection hidden="1"/>
    </xf>
    <xf numFmtId="0" fontId="62" fillId="2" borderId="23" xfId="2" applyFont="1" applyFill="1" applyBorder="1" applyAlignment="1" applyProtection="1">
      <alignment vertical="center" wrapText="1"/>
      <protection hidden="1"/>
    </xf>
    <xf numFmtId="0" fontId="19" fillId="13" borderId="27" xfId="2" applyFont="1" applyFill="1" applyBorder="1" applyAlignment="1" applyProtection="1">
      <alignment horizontal="center" vertical="center" wrapText="1"/>
      <protection hidden="1"/>
    </xf>
    <xf numFmtId="0" fontId="4" fillId="13" borderId="4" xfId="0" applyFont="1" applyFill="1" applyBorder="1" applyAlignment="1" applyProtection="1">
      <alignment horizontal="center" vertical="center"/>
      <protection hidden="1"/>
    </xf>
    <xf numFmtId="0" fontId="4" fillId="13" borderId="4" xfId="0" applyFont="1" applyFill="1" applyBorder="1" applyAlignment="1">
      <alignment horizontal="center" vertical="center"/>
    </xf>
    <xf numFmtId="0" fontId="14" fillId="4" borderId="4" xfId="0"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11" fillId="5" borderId="29" xfId="2" applyFont="1" applyFill="1" applyBorder="1"/>
    <xf numFmtId="0" fontId="45" fillId="5" borderId="31" xfId="2" applyFont="1" applyFill="1" applyBorder="1" applyAlignment="1">
      <alignment horizontal="left" vertical="center" wrapText="1"/>
    </xf>
    <xf numFmtId="0" fontId="11" fillId="5" borderId="35" xfId="2" applyFont="1" applyFill="1" applyBorder="1"/>
    <xf numFmtId="0" fontId="45" fillId="5" borderId="20" xfId="2" applyFont="1" applyFill="1" applyBorder="1" applyAlignment="1">
      <alignment horizontal="left" vertical="center" wrapText="1"/>
    </xf>
    <xf numFmtId="0" fontId="45" fillId="5" borderId="0" xfId="2" applyFont="1" applyFill="1" applyBorder="1" applyAlignment="1">
      <alignment vertical="center" wrapText="1"/>
    </xf>
    <xf numFmtId="0" fontId="45" fillId="5" borderId="20" xfId="2" applyFont="1" applyFill="1" applyBorder="1" applyAlignment="1">
      <alignment vertical="center" wrapText="1"/>
    </xf>
    <xf numFmtId="0" fontId="5" fillId="5" borderId="20" xfId="2" applyFont="1" applyFill="1" applyBorder="1" applyAlignment="1">
      <alignment horizontal="left" vertical="top" wrapText="1"/>
    </xf>
    <xf numFmtId="0" fontId="5" fillId="5" borderId="35" xfId="2" applyFont="1" applyFill="1" applyBorder="1" applyAlignment="1">
      <alignment horizontal="left" vertical="center" wrapText="1" indent="11"/>
    </xf>
    <xf numFmtId="0" fontId="5" fillId="5" borderId="32" xfId="2" applyFont="1" applyFill="1" applyBorder="1" applyAlignment="1">
      <alignment horizontal="left" vertical="center" wrapText="1" indent="11"/>
    </xf>
    <xf numFmtId="0" fontId="5" fillId="5" borderId="33" xfId="2" applyFont="1" applyFill="1" applyBorder="1" applyAlignment="1">
      <alignment horizontal="left" vertical="top" wrapText="1"/>
    </xf>
    <xf numFmtId="0" fontId="2" fillId="2" borderId="29" xfId="2" applyFont="1" applyFill="1" applyBorder="1"/>
    <xf numFmtId="0" fontId="2" fillId="2" borderId="30" xfId="2" applyFont="1" applyFill="1" applyBorder="1"/>
    <xf numFmtId="0" fontId="2" fillId="2" borderId="31" xfId="2" applyFont="1" applyFill="1" applyBorder="1"/>
    <xf numFmtId="0" fontId="2" fillId="2" borderId="35" xfId="2" applyFont="1" applyFill="1" applyBorder="1"/>
    <xf numFmtId="0" fontId="2" fillId="2" borderId="0" xfId="2" applyFont="1" applyFill="1" applyBorder="1"/>
    <xf numFmtId="0" fontId="2" fillId="2" borderId="20" xfId="2" applyFont="1" applyFill="1" applyBorder="1"/>
    <xf numFmtId="0" fontId="2" fillId="2" borderId="32" xfId="2" applyFont="1" applyFill="1" applyBorder="1"/>
    <xf numFmtId="0" fontId="2" fillId="2" borderId="3" xfId="2" applyFont="1" applyFill="1" applyBorder="1"/>
    <xf numFmtId="0" fontId="2" fillId="2" borderId="33" xfId="2" applyFont="1" applyFill="1" applyBorder="1"/>
    <xf numFmtId="0" fontId="5" fillId="5" borderId="0" xfId="2" applyFont="1" applyFill="1" applyBorder="1" applyAlignment="1">
      <alignment vertical="top" wrapText="1"/>
    </xf>
    <xf numFmtId="0" fontId="5" fillId="5" borderId="3" xfId="2" applyFont="1" applyFill="1" applyBorder="1" applyAlignment="1">
      <alignment vertical="top" wrapText="1"/>
    </xf>
    <xf numFmtId="0" fontId="5" fillId="21" borderId="0" xfId="2" applyFont="1" applyFill="1" applyAlignment="1">
      <alignment vertical="top" wrapText="1"/>
    </xf>
    <xf numFmtId="0" fontId="11" fillId="21" borderId="29" xfId="2" applyFont="1" applyFill="1" applyBorder="1"/>
    <xf numFmtId="0" fontId="45" fillId="21" borderId="31" xfId="2" applyFont="1" applyFill="1" applyBorder="1" applyAlignment="1">
      <alignment horizontal="left" vertical="center"/>
    </xf>
    <xf numFmtId="0" fontId="11" fillId="21" borderId="35" xfId="2" applyFont="1" applyFill="1" applyBorder="1"/>
    <xf numFmtId="0" fontId="45" fillId="21" borderId="20" xfId="2" applyFont="1" applyFill="1" applyBorder="1" applyAlignment="1">
      <alignment horizontal="left" vertical="center"/>
    </xf>
    <xf numFmtId="0" fontId="5" fillId="21" borderId="20" xfId="2" applyFont="1" applyFill="1" applyBorder="1" applyAlignment="1">
      <alignment horizontal="left" vertical="top" wrapText="1"/>
    </xf>
    <xf numFmtId="0" fontId="5" fillId="21" borderId="35" xfId="2" applyFont="1" applyFill="1" applyBorder="1" applyAlignment="1">
      <alignment horizontal="left" vertical="center" wrapText="1" indent="11"/>
    </xf>
    <xf numFmtId="0" fontId="5" fillId="21" borderId="0" xfId="2" applyFont="1" applyFill="1" applyBorder="1" applyAlignment="1">
      <alignment vertical="top" wrapText="1"/>
    </xf>
    <xf numFmtId="0" fontId="5" fillId="21" borderId="32" xfId="2" applyFont="1" applyFill="1" applyBorder="1" applyAlignment="1">
      <alignment horizontal="left" vertical="center" wrapText="1" indent="11"/>
    </xf>
    <xf numFmtId="0" fontId="5" fillId="21" borderId="3" xfId="2" applyFont="1" applyFill="1" applyBorder="1" applyAlignment="1">
      <alignment vertical="top" wrapText="1"/>
    </xf>
    <xf numFmtId="0" fontId="5" fillId="21" borderId="33" xfId="2" applyFont="1" applyFill="1" applyBorder="1" applyAlignment="1">
      <alignment horizontal="left" vertical="top" wrapText="1"/>
    </xf>
    <xf numFmtId="0" fontId="11" fillId="16" borderId="29" xfId="2" applyFont="1" applyFill="1" applyBorder="1"/>
    <xf numFmtId="0" fontId="45" fillId="16" borderId="31" xfId="2" applyFont="1" applyFill="1" applyBorder="1" applyAlignment="1">
      <alignment horizontal="left" vertical="center"/>
    </xf>
    <xf numFmtId="0" fontId="11" fillId="16" borderId="35" xfId="2" applyFont="1" applyFill="1" applyBorder="1"/>
    <xf numFmtId="0" fontId="45" fillId="16" borderId="20" xfId="2" applyFont="1" applyFill="1" applyBorder="1" applyAlignment="1">
      <alignment horizontal="left" vertical="center"/>
    </xf>
    <xf numFmtId="0" fontId="5" fillId="16" borderId="20" xfId="2" applyFont="1" applyFill="1" applyBorder="1" applyAlignment="1">
      <alignment horizontal="left" vertical="top" wrapText="1"/>
    </xf>
    <xf numFmtId="0" fontId="5" fillId="16" borderId="35" xfId="2" applyFont="1" applyFill="1" applyBorder="1" applyAlignment="1">
      <alignment horizontal="left" vertical="center" wrapText="1" indent="11"/>
    </xf>
    <xf numFmtId="0" fontId="5" fillId="16" borderId="0" xfId="2" applyFont="1" applyFill="1" applyBorder="1" applyAlignment="1">
      <alignment vertical="top" wrapText="1"/>
    </xf>
    <xf numFmtId="0" fontId="5" fillId="16" borderId="20" xfId="2" applyFont="1" applyFill="1" applyBorder="1" applyAlignment="1">
      <alignment vertical="top" wrapText="1"/>
    </xf>
    <xf numFmtId="0" fontId="2" fillId="11" borderId="23" xfId="2" applyFont="1" applyFill="1" applyBorder="1"/>
    <xf numFmtId="0" fontId="44" fillId="6" borderId="41" xfId="0" applyFont="1" applyFill="1" applyBorder="1" applyAlignment="1">
      <alignment horizontal="center" vertical="center" wrapText="1"/>
    </xf>
    <xf numFmtId="0" fontId="75" fillId="15" borderId="41" xfId="0" applyFont="1" applyFill="1" applyBorder="1" applyAlignment="1">
      <alignment horizontal="center" vertical="center" wrapText="1"/>
    </xf>
    <xf numFmtId="0" fontId="76" fillId="11" borderId="0" xfId="2" applyFont="1" applyFill="1" applyBorder="1"/>
    <xf numFmtId="0" fontId="13" fillId="21" borderId="10" xfId="0" applyFont="1" applyFill="1" applyBorder="1" applyAlignment="1" applyProtection="1">
      <alignment horizontal="center" vertical="center"/>
      <protection hidden="1"/>
    </xf>
    <xf numFmtId="0" fontId="0" fillId="11" borderId="0" xfId="0" applyFont="1" applyFill="1"/>
    <xf numFmtId="0" fontId="11" fillId="7" borderId="29" xfId="2" applyFont="1" applyFill="1" applyBorder="1"/>
    <xf numFmtId="0" fontId="45" fillId="7" borderId="31" xfId="2" applyFont="1" applyFill="1" applyBorder="1" applyAlignment="1">
      <alignment horizontal="left" vertical="center"/>
    </xf>
    <xf numFmtId="0" fontId="11" fillId="7" borderId="35" xfId="2" applyFont="1" applyFill="1" applyBorder="1"/>
    <xf numFmtId="0" fontId="45" fillId="7" borderId="20" xfId="2" applyFont="1" applyFill="1" applyBorder="1" applyAlignment="1">
      <alignment horizontal="left" vertical="center"/>
    </xf>
    <xf numFmtId="0" fontId="5" fillId="7" borderId="20" xfId="2" applyFont="1" applyFill="1" applyBorder="1" applyAlignment="1">
      <alignment horizontal="left" vertical="top" wrapText="1"/>
    </xf>
    <xf numFmtId="0" fontId="5" fillId="7" borderId="35" xfId="2" applyFont="1" applyFill="1" applyBorder="1" applyAlignment="1">
      <alignment horizontal="left" vertical="center" wrapText="1" indent="11"/>
    </xf>
    <xf numFmtId="0" fontId="5" fillId="7" borderId="0" xfId="2" applyFont="1" applyFill="1" applyBorder="1" applyAlignment="1">
      <alignment vertical="top" wrapText="1"/>
    </xf>
    <xf numFmtId="0" fontId="5" fillId="7" borderId="20" xfId="2" applyFont="1" applyFill="1" applyBorder="1" applyAlignment="1">
      <alignment vertical="top" wrapText="1"/>
    </xf>
    <xf numFmtId="0" fontId="5" fillId="7" borderId="33" xfId="2" applyFont="1" applyFill="1" applyBorder="1" applyAlignment="1">
      <alignment horizontal="center" vertical="center" wrapText="1"/>
    </xf>
    <xf numFmtId="0" fontId="35" fillId="8" borderId="0" xfId="0" applyFont="1" applyFill="1" applyBorder="1" applyAlignment="1" applyProtection="1">
      <alignment horizontal="left" vertical="center" indent="1"/>
      <protection hidden="1"/>
    </xf>
    <xf numFmtId="0" fontId="9" fillId="7" borderId="0" xfId="0" applyFont="1" applyFill="1" applyBorder="1" applyAlignment="1" applyProtection="1">
      <alignment horizontal="left" vertical="center" indent="1"/>
      <protection hidden="1"/>
    </xf>
    <xf numFmtId="0" fontId="9" fillId="7" borderId="0" xfId="0" applyFont="1" applyFill="1" applyBorder="1" applyAlignment="1" applyProtection="1">
      <alignment vertical="center"/>
      <protection hidden="1"/>
    </xf>
    <xf numFmtId="0" fontId="13" fillId="21" borderId="7" xfId="0" applyFont="1" applyFill="1" applyBorder="1" applyAlignment="1" applyProtection="1">
      <alignment horizontal="center" vertical="center" wrapText="1"/>
      <protection hidden="1"/>
    </xf>
    <xf numFmtId="0" fontId="8" fillId="9" borderId="4" xfId="2" applyFont="1" applyFill="1" applyBorder="1" applyAlignment="1" applyProtection="1">
      <alignment horizontal="center" vertical="center" wrapText="1"/>
      <protection hidden="1"/>
    </xf>
    <xf numFmtId="166" fontId="14" fillId="20" borderId="28" xfId="0" applyNumberFormat="1" applyFont="1" applyFill="1" applyBorder="1" applyAlignment="1" applyProtection="1">
      <alignment horizontal="center" vertical="center" wrapText="1"/>
      <protection locked="0"/>
    </xf>
    <xf numFmtId="166" fontId="14" fillId="4" borderId="28" xfId="0" applyNumberFormat="1" applyFont="1" applyFill="1" applyBorder="1" applyAlignment="1" applyProtection="1">
      <alignment horizontal="center" vertical="center" wrapText="1"/>
      <protection hidden="1"/>
    </xf>
    <xf numFmtId="0" fontId="11" fillId="6" borderId="3" xfId="0" applyFont="1" applyFill="1" applyBorder="1" applyAlignment="1">
      <alignment horizontal="center" vertical="center"/>
    </xf>
    <xf numFmtId="0" fontId="2" fillId="7" borderId="0" xfId="2" applyFill="1" applyProtection="1">
      <protection hidden="1"/>
    </xf>
    <xf numFmtId="0" fontId="19" fillId="7" borderId="27" xfId="2" applyFont="1" applyFill="1" applyBorder="1" applyAlignment="1" applyProtection="1">
      <alignment horizontal="center" vertical="center" wrapText="1"/>
      <protection hidden="1"/>
    </xf>
    <xf numFmtId="0" fontId="4" fillId="7" borderId="41" xfId="0" applyFont="1" applyFill="1" applyBorder="1" applyAlignment="1" applyProtection="1">
      <alignment horizontal="center" vertical="center"/>
      <protection hidden="1"/>
    </xf>
    <xf numFmtId="0" fontId="2" fillId="2" borderId="0" xfId="2" applyFont="1" applyFill="1" applyBorder="1" applyAlignment="1" applyProtection="1">
      <protection hidden="1"/>
    </xf>
    <xf numFmtId="0" fontId="13" fillId="21" borderId="7" xfId="0" applyFont="1" applyFill="1" applyBorder="1" applyAlignment="1" applyProtection="1">
      <alignment horizontal="center" vertical="center"/>
      <protection hidden="1"/>
    </xf>
    <xf numFmtId="0" fontId="2" fillId="4" borderId="28" xfId="2" applyFont="1" applyFill="1" applyBorder="1" applyAlignment="1" applyProtection="1">
      <alignment horizontal="center" vertical="center" wrapText="1"/>
      <protection hidden="1"/>
    </xf>
    <xf numFmtId="0" fontId="20" fillId="2" borderId="0" xfId="2" applyFont="1" applyFill="1" applyBorder="1" applyAlignment="1" applyProtection="1">
      <alignment vertical="center"/>
      <protection hidden="1"/>
    </xf>
    <xf numFmtId="0" fontId="13" fillId="6" borderId="1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2" fillId="11" borderId="0" xfId="2" applyFont="1" applyFill="1" applyBorder="1" applyAlignment="1">
      <alignment vertical="center" wrapText="1"/>
    </xf>
    <xf numFmtId="0" fontId="2" fillId="11" borderId="0" xfId="2" applyFont="1" applyFill="1" applyBorder="1" applyAlignment="1"/>
    <xf numFmtId="0" fontId="20" fillId="11" borderId="0" xfId="2" applyFont="1" applyFill="1" applyBorder="1" applyAlignment="1"/>
    <xf numFmtId="0" fontId="13" fillId="6" borderId="7" xfId="0" applyFont="1" applyFill="1" applyBorder="1" applyAlignment="1" applyProtection="1">
      <alignment horizontal="center" vertical="center" wrapText="1"/>
      <protection hidden="1"/>
    </xf>
    <xf numFmtId="0" fontId="11" fillId="6" borderId="29" xfId="2" applyFont="1" applyFill="1" applyBorder="1"/>
    <xf numFmtId="0" fontId="45" fillId="6" borderId="31" xfId="2" applyFont="1" applyFill="1" applyBorder="1" applyAlignment="1">
      <alignment horizontal="left" vertical="center" wrapText="1"/>
    </xf>
    <xf numFmtId="0" fontId="11" fillId="6" borderId="35" xfId="2" applyFont="1" applyFill="1" applyBorder="1"/>
    <xf numFmtId="0" fontId="45" fillId="6" borderId="20" xfId="2" applyFont="1" applyFill="1" applyBorder="1" applyAlignment="1">
      <alignment horizontal="left" vertical="center" wrapText="1"/>
    </xf>
    <xf numFmtId="0" fontId="45" fillId="6" borderId="20" xfId="2" applyFont="1" applyFill="1" applyBorder="1" applyAlignment="1">
      <alignment vertical="center" wrapText="1"/>
    </xf>
    <xf numFmtId="0" fontId="5" fillId="6" borderId="20" xfId="2" applyFont="1" applyFill="1" applyBorder="1" applyAlignment="1">
      <alignment horizontal="left" vertical="top" wrapText="1"/>
    </xf>
    <xf numFmtId="0" fontId="5" fillId="6" borderId="35" xfId="2" applyFont="1" applyFill="1" applyBorder="1" applyAlignment="1">
      <alignment horizontal="left" vertical="center" wrapText="1" indent="11"/>
    </xf>
    <xf numFmtId="0" fontId="5" fillId="6" borderId="32" xfId="2" applyFont="1" applyFill="1" applyBorder="1" applyAlignment="1">
      <alignment horizontal="left" vertical="center" wrapText="1" indent="11"/>
    </xf>
    <xf numFmtId="0" fontId="5" fillId="6" borderId="33" xfId="2" applyFont="1" applyFill="1" applyBorder="1" applyAlignment="1">
      <alignment horizontal="left" vertical="top" wrapText="1"/>
    </xf>
    <xf numFmtId="0" fontId="5" fillId="6" borderId="0" xfId="2" applyFont="1" applyFill="1" applyBorder="1" applyAlignment="1">
      <alignment vertical="top" wrapText="1"/>
    </xf>
    <xf numFmtId="0" fontId="5" fillId="6" borderId="3" xfId="2" applyFont="1" applyFill="1" applyBorder="1" applyAlignment="1">
      <alignment vertical="top" wrapText="1"/>
    </xf>
    <xf numFmtId="0" fontId="11" fillId="3" borderId="8" xfId="2" applyFont="1" applyFill="1" applyBorder="1" applyAlignment="1" applyProtection="1">
      <alignment horizontal="center" wrapText="1"/>
      <protection hidden="1"/>
    </xf>
    <xf numFmtId="0" fontId="11" fillId="3" borderId="7" xfId="2" applyFont="1" applyFill="1" applyBorder="1" applyAlignment="1" applyProtection="1">
      <alignment horizontal="center" vertical="center" wrapText="1"/>
      <protection hidden="1"/>
    </xf>
    <xf numFmtId="0" fontId="13" fillId="13" borderId="10" xfId="0"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21" fillId="11" borderId="2" xfId="2" applyFont="1" applyFill="1" applyBorder="1" applyAlignment="1" applyProtection="1">
      <alignment horizontal="center" vertical="center"/>
      <protection hidden="1"/>
    </xf>
    <xf numFmtId="0" fontId="21" fillId="11" borderId="1" xfId="2" applyFont="1" applyFill="1" applyBorder="1" applyAlignment="1">
      <alignment horizontal="center" vertical="center"/>
    </xf>
    <xf numFmtId="0" fontId="19" fillId="13" borderId="26" xfId="2" applyFont="1" applyFill="1" applyBorder="1" applyAlignment="1" applyProtection="1">
      <alignment horizontal="center" vertical="center" wrapText="1"/>
      <protection hidden="1"/>
    </xf>
    <xf numFmtId="0" fontId="19" fillId="21" borderId="26" xfId="2" applyFont="1" applyFill="1" applyBorder="1" applyAlignment="1" applyProtection="1">
      <alignment horizontal="center" vertical="center" wrapText="1"/>
      <protection hidden="1"/>
    </xf>
    <xf numFmtId="0" fontId="2" fillId="2" borderId="39" xfId="2" applyFill="1" applyBorder="1" applyProtection="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2" fillId="10" borderId="4" xfId="2" applyFont="1" applyFill="1" applyBorder="1" applyAlignment="1" applyProtection="1">
      <alignment horizontal="center" vertical="center"/>
      <protection hidden="1"/>
    </xf>
    <xf numFmtId="0" fontId="18" fillId="2" borderId="0" xfId="0" applyFont="1" applyFill="1"/>
    <xf numFmtId="0" fontId="2" fillId="2" borderId="0" xfId="2" applyFont="1" applyFill="1" applyBorder="1" applyAlignment="1" applyProtection="1">
      <alignment horizontal="left" indent="1"/>
      <protection hidden="1"/>
    </xf>
    <xf numFmtId="0" fontId="2" fillId="2" borderId="0" xfId="2" applyFill="1" applyBorder="1" applyAlignment="1" applyProtection="1">
      <alignment horizontal="left"/>
      <protection hidden="1"/>
    </xf>
    <xf numFmtId="0" fontId="0" fillId="11" borderId="0" xfId="0" applyFill="1" applyAlignment="1" applyProtection="1">
      <alignment horizontal="left" vertical="top" wrapText="1"/>
      <protection hidden="1"/>
    </xf>
    <xf numFmtId="0" fontId="14" fillId="20" borderId="10"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1" fillId="11" borderId="1" xfId="2" applyFont="1" applyFill="1" applyBorder="1" applyAlignment="1" applyProtection="1">
      <alignment horizontal="center" vertical="center"/>
      <protection hidden="1"/>
    </xf>
    <xf numFmtId="0" fontId="21" fillId="11" borderId="1" xfId="2" applyFont="1" applyFill="1" applyBorder="1" applyAlignment="1" applyProtection="1">
      <alignment horizontal="center" vertical="center"/>
      <protection hidden="1"/>
    </xf>
    <xf numFmtId="0" fontId="21" fillId="11" borderId="22" xfId="2" applyFont="1" applyFill="1" applyBorder="1" applyAlignment="1" applyProtection="1">
      <alignment horizontal="center" vertical="center"/>
      <protection hidden="1"/>
    </xf>
    <xf numFmtId="0" fontId="2" fillId="2" borderId="23" xfId="2" applyFill="1" applyBorder="1" applyProtection="1">
      <protection hidden="1"/>
    </xf>
    <xf numFmtId="0" fontId="2" fillId="2" borderId="40" xfId="2" applyFill="1" applyBorder="1" applyProtection="1">
      <protection hidden="1"/>
    </xf>
    <xf numFmtId="0" fontId="27" fillId="14" borderId="0" xfId="2" applyFont="1" applyFill="1" applyBorder="1" applyAlignment="1" applyProtection="1">
      <alignment horizontal="center" vertical="center" wrapText="1"/>
      <protection hidden="1"/>
    </xf>
    <xf numFmtId="0" fontId="21"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75" fillId="15" borderId="4" xfId="0" applyFont="1" applyFill="1" applyBorder="1" applyAlignment="1">
      <alignment horizontal="center" vertical="center" wrapText="1"/>
    </xf>
    <xf numFmtId="0" fontId="21" fillId="2" borderId="0" xfId="2" applyFont="1" applyFill="1" applyAlignment="1" applyProtection="1">
      <alignment vertical="center"/>
      <protection hidden="1"/>
    </xf>
    <xf numFmtId="0" fontId="22" fillId="14" borderId="39" xfId="2" applyFont="1" applyFill="1" applyBorder="1" applyAlignment="1" applyProtection="1">
      <alignment horizontal="left" vertical="center" wrapText="1"/>
      <protection hidden="1"/>
    </xf>
    <xf numFmtId="0" fontId="22" fillId="14" borderId="39" xfId="2" applyFont="1" applyFill="1" applyBorder="1" applyAlignment="1" applyProtection="1">
      <alignment vertical="center" wrapText="1"/>
      <protection hidden="1"/>
    </xf>
    <xf numFmtId="0" fontId="22" fillId="14" borderId="22" xfId="2" applyFont="1" applyFill="1" applyBorder="1" applyAlignment="1" applyProtection="1">
      <alignment vertical="center" wrapText="1"/>
      <protection hidden="1"/>
    </xf>
    <xf numFmtId="0" fontId="27" fillId="14" borderId="23" xfId="2" applyFont="1" applyFill="1" applyBorder="1" applyAlignment="1" applyProtection="1">
      <alignment horizontal="center" vertical="center" wrapText="1"/>
      <protection hidden="1"/>
    </xf>
    <xf numFmtId="0" fontId="25" fillId="10" borderId="25" xfId="2" applyFont="1" applyFill="1" applyBorder="1" applyAlignment="1" applyProtection="1">
      <alignment horizontal="center" wrapText="1"/>
      <protection hidden="1"/>
    </xf>
    <xf numFmtId="0" fontId="22" fillId="14" borderId="36" xfId="2" applyFont="1" applyFill="1" applyBorder="1" applyAlignment="1" applyProtection="1">
      <alignment horizontal="left" vertical="center" wrapText="1"/>
      <protection hidden="1"/>
    </xf>
    <xf numFmtId="0" fontId="27" fillId="14" borderId="37" xfId="2" applyFont="1" applyFill="1" applyBorder="1" applyAlignment="1" applyProtection="1">
      <alignment horizontal="center" vertical="center" wrapText="1"/>
      <protection hidden="1"/>
    </xf>
    <xf numFmtId="0" fontId="22" fillId="14" borderId="38" xfId="2" applyFont="1" applyFill="1" applyBorder="1" applyAlignment="1" applyProtection="1">
      <alignment horizontal="center" vertical="center" wrapText="1"/>
      <protection hidden="1"/>
    </xf>
    <xf numFmtId="0" fontId="22" fillId="14" borderId="40" xfId="2" applyFont="1" applyFill="1" applyBorder="1" applyAlignment="1" applyProtection="1">
      <alignment horizontal="center" vertical="center" wrapText="1"/>
      <protection hidden="1"/>
    </xf>
    <xf numFmtId="0" fontId="22" fillId="14" borderId="22" xfId="2" applyFont="1" applyFill="1" applyBorder="1" applyAlignment="1" applyProtection="1">
      <alignment horizontal="left" vertical="center" wrapText="1"/>
      <protection hidden="1"/>
    </xf>
    <xf numFmtId="0" fontId="22" fillId="14" borderId="24" xfId="2" applyFont="1" applyFill="1" applyBorder="1" applyAlignment="1" applyProtection="1">
      <alignment horizontal="center" vertical="center" wrapText="1"/>
      <protection hidden="1"/>
    </xf>
    <xf numFmtId="0" fontId="25" fillId="10" borderId="26" xfId="2" applyFont="1" applyFill="1" applyBorder="1" applyAlignment="1" applyProtection="1">
      <alignment horizontal="center" vertical="center" wrapText="1"/>
      <protection hidden="1"/>
    </xf>
    <xf numFmtId="0" fontId="28" fillId="10" borderId="27" xfId="2" applyFont="1" applyFill="1" applyBorder="1" applyAlignment="1" applyProtection="1">
      <alignment horizontal="center" vertical="center" wrapText="1"/>
      <protection hidden="1"/>
    </xf>
    <xf numFmtId="0" fontId="26" fillId="6" borderId="26" xfId="0" applyFont="1" applyFill="1" applyBorder="1" applyAlignment="1" applyProtection="1">
      <alignment horizontal="center" vertical="center" wrapText="1"/>
      <protection hidden="1"/>
    </xf>
    <xf numFmtId="0" fontId="26" fillId="6" borderId="27" xfId="0" applyFont="1" applyFill="1" applyBorder="1" applyAlignment="1" applyProtection="1">
      <alignment horizontal="center" vertical="center" wrapText="1"/>
      <protection hidden="1"/>
    </xf>
    <xf numFmtId="0" fontId="25" fillId="10" borderId="22" xfId="2" applyFont="1" applyFill="1" applyBorder="1" applyAlignment="1" applyProtection="1">
      <alignment horizontal="center" wrapText="1"/>
      <protection hidden="1"/>
    </xf>
    <xf numFmtId="0" fontId="25" fillId="10" borderId="23" xfId="2" applyFont="1" applyFill="1" applyBorder="1" applyAlignment="1" applyProtection="1">
      <alignment horizontal="center" vertical="center" wrapText="1"/>
      <protection hidden="1"/>
    </xf>
    <xf numFmtId="0" fontId="28" fillId="10" borderId="24" xfId="2" applyFont="1" applyFill="1" applyBorder="1" applyAlignment="1" applyProtection="1">
      <alignment horizontal="center" vertical="center" wrapText="1"/>
      <protection hidden="1"/>
    </xf>
    <xf numFmtId="0" fontId="22" fillId="14" borderId="36" xfId="2" applyFont="1" applyFill="1" applyBorder="1" applyAlignment="1" applyProtection="1">
      <alignment vertical="center" wrapText="1"/>
      <protection hidden="1"/>
    </xf>
    <xf numFmtId="0" fontId="14" fillId="20" borderId="2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21" fillId="2" borderId="0" xfId="2" applyFont="1" applyFill="1" applyBorder="1" applyAlignment="1" applyProtection="1">
      <alignment horizontal="left" wrapText="1"/>
      <protection hidden="1"/>
    </xf>
    <xf numFmtId="0" fontId="2" fillId="27" borderId="0" xfId="2" applyFill="1" applyProtection="1">
      <protection hidden="1"/>
    </xf>
    <xf numFmtId="0" fontId="2" fillId="27" borderId="0" xfId="2" applyFill="1" applyBorder="1" applyProtection="1">
      <protection hidden="1"/>
    </xf>
    <xf numFmtId="0" fontId="13" fillId="6" borderId="10" xfId="0" applyFont="1" applyFill="1" applyBorder="1" applyAlignment="1" applyProtection="1">
      <alignment horizontal="center" vertical="center" wrapText="1"/>
      <protection hidden="1"/>
    </xf>
    <xf numFmtId="0" fontId="2" fillId="2" borderId="0" xfId="2" applyFill="1" applyBorder="1" applyAlignment="1" applyProtection="1">
      <alignment horizontal="left" indent="1"/>
      <protection hidden="1"/>
    </xf>
    <xf numFmtId="0" fontId="14" fillId="10" borderId="4" xfId="0" applyFont="1" applyFill="1" applyBorder="1" applyAlignment="1" applyProtection="1">
      <alignment horizontal="center" vertical="center" wrapText="1"/>
      <protection locked="0"/>
    </xf>
    <xf numFmtId="0" fontId="14" fillId="10" borderId="28" xfId="0"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protection hidden="1"/>
    </xf>
    <xf numFmtId="0" fontId="2" fillId="2" borderId="0" xfId="2" applyFill="1" applyBorder="1" applyAlignment="1" applyProtection="1">
      <alignment horizontal="right"/>
      <protection hidden="1"/>
    </xf>
    <xf numFmtId="10" fontId="14" fillId="4" borderId="28" xfId="1" applyNumberFormat="1" applyFont="1" applyFill="1" applyBorder="1" applyAlignment="1" applyProtection="1">
      <alignment horizontal="center" vertical="center" wrapText="1"/>
      <protection hidden="1"/>
    </xf>
    <xf numFmtId="0" fontId="21" fillId="11" borderId="5" xfId="2" applyFont="1" applyFill="1" applyBorder="1" applyAlignment="1" applyProtection="1">
      <alignment horizontal="center" vertical="center"/>
      <protection hidden="1"/>
    </xf>
    <xf numFmtId="0" fontId="0" fillId="2" borderId="0" xfId="0" applyFill="1" applyProtection="1">
      <protection hidden="1"/>
    </xf>
    <xf numFmtId="0" fontId="21" fillId="11" borderId="24" xfId="2" applyFont="1" applyFill="1" applyBorder="1" applyAlignment="1" applyProtection="1">
      <alignment horizontal="center" vertical="center"/>
      <protection hidden="1"/>
    </xf>
    <xf numFmtId="0" fontId="21" fillId="11" borderId="27" xfId="2" applyFont="1" applyFill="1" applyBorder="1" applyAlignment="1" applyProtection="1">
      <alignment horizontal="center" vertical="center"/>
      <protection hidden="1"/>
    </xf>
    <xf numFmtId="0" fontId="102" fillId="2" borderId="0" xfId="2" applyFont="1" applyFill="1" applyProtection="1">
      <protection hidden="1"/>
    </xf>
    <xf numFmtId="0" fontId="102" fillId="22" borderId="0" xfId="2" applyFont="1" applyFill="1" applyProtection="1">
      <protection hidden="1"/>
    </xf>
    <xf numFmtId="0" fontId="2" fillId="22" borderId="0" xfId="2" applyFill="1" applyAlignment="1" applyProtection="1">
      <alignment horizontal="center"/>
      <protection hidden="1"/>
    </xf>
    <xf numFmtId="0" fontId="21" fillId="2" borderId="0" xfId="2" applyFont="1" applyFill="1" applyProtection="1">
      <protection hidden="1"/>
    </xf>
    <xf numFmtId="0" fontId="2" fillId="24" borderId="0" xfId="2" applyFill="1" applyProtection="1">
      <protection hidden="1"/>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wrapText="1"/>
      <protection hidden="1"/>
    </xf>
    <xf numFmtId="0" fontId="2" fillId="27" borderId="0" xfId="2" applyFont="1" applyFill="1" applyBorder="1" applyProtection="1">
      <protection hidden="1"/>
    </xf>
    <xf numFmtId="0" fontId="0" fillId="27" borderId="0" xfId="0" applyFill="1" applyProtection="1">
      <protection hidden="1"/>
    </xf>
    <xf numFmtId="0" fontId="14" fillId="10" borderId="4" xfId="0" applyFont="1" applyFill="1" applyBorder="1" applyAlignment="1" applyProtection="1">
      <alignment horizontal="center" vertical="center" wrapText="1"/>
      <protection hidden="1"/>
    </xf>
    <xf numFmtId="0" fontId="2" fillId="2" borderId="0" xfId="2" applyFill="1" applyAlignment="1" applyProtection="1">
      <alignment horizontal="right"/>
      <protection hidden="1"/>
    </xf>
    <xf numFmtId="0" fontId="14" fillId="20" borderId="51" xfId="0" applyFont="1" applyFill="1" applyBorder="1" applyAlignment="1" applyProtection="1">
      <alignment horizontal="center" vertical="center" wrapText="1"/>
      <protection locked="0"/>
    </xf>
    <xf numFmtId="0" fontId="14" fillId="20" borderId="52"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1"/>
      <protection hidden="1"/>
    </xf>
    <xf numFmtId="0" fontId="0" fillId="23" borderId="0" xfId="0" applyFill="1" applyProtection="1">
      <protection hidden="1"/>
    </xf>
    <xf numFmtId="9" fontId="14" fillId="20" borderId="4" xfId="1" applyFont="1" applyFill="1" applyBorder="1" applyProtection="1">
      <protection locked="0"/>
    </xf>
    <xf numFmtId="9" fontId="14" fillId="20" borderId="4" xfId="1" applyFont="1" applyFill="1" applyBorder="1" applyAlignment="1" applyProtection="1">
      <alignment horizontal="center"/>
      <protection locked="0"/>
    </xf>
    <xf numFmtId="0" fontId="2" fillId="23" borderId="0" xfId="2" applyFill="1" applyAlignment="1" applyProtection="1">
      <alignment horizontal="center"/>
      <protection hidden="1"/>
    </xf>
    <xf numFmtId="166" fontId="14" fillId="20" borderId="4" xfId="0" applyNumberFormat="1" applyFont="1" applyFill="1" applyBorder="1" applyAlignment="1" applyProtection="1">
      <alignment horizontal="center" vertical="center" wrapText="1"/>
      <protection locked="0"/>
    </xf>
    <xf numFmtId="10" fontId="14" fillId="4" borderId="28" xfId="1" applyNumberFormat="1" applyFont="1" applyFill="1" applyBorder="1" applyAlignment="1" applyProtection="1">
      <alignment horizontal="center" vertical="center" wrapText="1"/>
      <protection hidden="1"/>
    </xf>
    <xf numFmtId="2" fontId="21" fillId="9" borderId="4" xfId="6" applyNumberFormat="1" applyFont="1" applyFill="1" applyBorder="1" applyAlignment="1" applyProtection="1">
      <alignment horizontal="center" vertical="center"/>
      <protection hidden="1"/>
    </xf>
    <xf numFmtId="0" fontId="14" fillId="20" borderId="4" xfId="1" applyNumberFormat="1" applyFont="1" applyFill="1" applyBorder="1" applyAlignment="1" applyProtection="1">
      <alignment horizontal="center"/>
      <protection locked="0"/>
    </xf>
    <xf numFmtId="164" fontId="2" fillId="23" borderId="0" xfId="2" applyNumberFormat="1" applyFill="1" applyProtection="1">
      <protection hidden="1"/>
    </xf>
    <xf numFmtId="0" fontId="14" fillId="15" borderId="65" xfId="0" applyFont="1" applyFill="1" applyBorder="1" applyAlignment="1">
      <alignment horizontal="center" vertical="center" wrapText="1"/>
    </xf>
    <xf numFmtId="10" fontId="14" fillId="15" borderId="66" xfId="0" applyNumberFormat="1" applyFont="1" applyFill="1" applyBorder="1" applyAlignment="1">
      <alignment horizontal="center" vertical="center" wrapText="1"/>
    </xf>
    <xf numFmtId="3" fontId="14" fillId="15" borderId="65" xfId="0" applyNumberFormat="1" applyFont="1" applyFill="1" applyBorder="1" applyAlignment="1">
      <alignment horizontal="center" vertical="center" wrapText="1"/>
    </xf>
    <xf numFmtId="3" fontId="14" fillId="15" borderId="67" xfId="0" applyNumberFormat="1" applyFont="1" applyFill="1" applyBorder="1" applyAlignment="1">
      <alignment horizontal="center" vertical="center" wrapText="1"/>
    </xf>
    <xf numFmtId="10" fontId="14" fillId="15" borderId="68" xfId="0" applyNumberFormat="1" applyFont="1" applyFill="1" applyBorder="1" applyAlignment="1">
      <alignment horizontal="center" vertical="center" wrapText="1"/>
    </xf>
    <xf numFmtId="0" fontId="44" fillId="28" borderId="63" xfId="0" applyFont="1" applyFill="1" applyBorder="1" applyAlignment="1">
      <alignment horizontal="center" vertical="center"/>
    </xf>
    <xf numFmtId="0" fontId="44" fillId="28" borderId="64" xfId="0" applyFont="1" applyFill="1" applyBorder="1" applyAlignment="1">
      <alignment horizontal="center" vertical="center"/>
    </xf>
    <xf numFmtId="0" fontId="0" fillId="11"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14" fillId="20" borderId="51" xfId="0" applyFont="1" applyFill="1" applyBorder="1" applyAlignment="1" applyProtection="1">
      <alignment horizontal="center" vertical="center" wrapText="1"/>
      <protection locked="0"/>
    </xf>
    <xf numFmtId="0" fontId="14" fillId="20" borderId="52" xfId="0"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wrapText="1"/>
      <protection hidden="1"/>
    </xf>
    <xf numFmtId="0" fontId="21" fillId="2" borderId="0" xfId="2" applyFont="1" applyFill="1" applyBorder="1" applyAlignment="1" applyProtection="1">
      <alignment horizontal="left"/>
      <protection hidden="1"/>
    </xf>
    <xf numFmtId="0" fontId="0" fillId="10" borderId="0" xfId="0" applyFont="1" applyFill="1" applyProtection="1">
      <protection hidden="1"/>
    </xf>
    <xf numFmtId="0" fontId="111" fillId="10" borderId="0" xfId="0" applyFont="1" applyFill="1" applyProtection="1">
      <protection hidden="1"/>
    </xf>
    <xf numFmtId="0" fontId="70" fillId="10" borderId="0" xfId="0" applyFont="1" applyFill="1" applyProtection="1">
      <protection hidden="1"/>
    </xf>
    <xf numFmtId="0" fontId="0" fillId="11" borderId="0" xfId="0" applyFont="1" applyFill="1" applyBorder="1"/>
    <xf numFmtId="0" fontId="71" fillId="6" borderId="0" xfId="2" applyFont="1" applyFill="1"/>
    <xf numFmtId="0" fontId="71" fillId="11" borderId="0" xfId="2" applyFont="1" applyFill="1"/>
    <xf numFmtId="3" fontId="115" fillId="20" borderId="4" xfId="0" applyNumberFormat="1" applyFont="1" applyFill="1" applyBorder="1" applyAlignment="1" applyProtection="1">
      <alignment horizontal="center" vertical="center"/>
      <protection locked="0"/>
    </xf>
    <xf numFmtId="0" fontId="2" fillId="20" borderId="5" xfId="2" applyFont="1" applyFill="1" applyBorder="1" applyAlignment="1" applyProtection="1">
      <alignment horizontal="center" vertical="center"/>
      <protection locked="0"/>
    </xf>
    <xf numFmtId="0" fontId="20" fillId="2" borderId="0" xfId="2" applyFont="1" applyFill="1" applyBorder="1" applyAlignment="1"/>
    <xf numFmtId="0" fontId="39" fillId="19" borderId="0" xfId="0" applyFont="1" applyFill="1" applyAlignment="1" applyProtection="1">
      <alignment vertical="center" wrapText="1"/>
      <protection hidden="1"/>
    </xf>
    <xf numFmtId="0" fontId="0" fillId="7" borderId="0" xfId="0" applyFill="1" applyAlignment="1">
      <alignment horizontal="center"/>
    </xf>
    <xf numFmtId="0" fontId="2" fillId="4" borderId="4" xfId="0" applyFont="1" applyFill="1" applyBorder="1" applyAlignment="1" applyProtection="1">
      <alignment horizontal="left" vertical="center" wrapText="1"/>
      <protection hidden="1"/>
    </xf>
    <xf numFmtId="0" fontId="8" fillId="4" borderId="4" xfId="0" applyFont="1" applyFill="1" applyBorder="1" applyAlignment="1">
      <alignment vertical="center"/>
    </xf>
    <xf numFmtId="0" fontId="8" fillId="4" borderId="34" xfId="0" applyFont="1" applyFill="1" applyBorder="1" applyAlignment="1">
      <alignment vertical="center"/>
    </xf>
    <xf numFmtId="0" fontId="2" fillId="11" borderId="30" xfId="2" applyFont="1" applyFill="1" applyBorder="1"/>
    <xf numFmtId="0" fontId="21" fillId="2" borderId="0" xfId="2" applyFont="1" applyFill="1" applyBorder="1" applyAlignment="1" applyProtection="1">
      <protection hidden="1"/>
    </xf>
    <xf numFmtId="0" fontId="14" fillId="20" borderId="3" xfId="0" applyFont="1" applyFill="1" applyBorder="1" applyAlignment="1" applyProtection="1">
      <alignment horizontal="center" vertical="center" wrapText="1"/>
      <protection locked="0"/>
    </xf>
    <xf numFmtId="0" fontId="8" fillId="11" borderId="0" xfId="2" applyFont="1" applyFill="1" applyBorder="1"/>
    <xf numFmtId="0" fontId="8" fillId="11" borderId="0" xfId="2" applyFont="1" applyFill="1"/>
    <xf numFmtId="0" fontId="2" fillId="4" borderId="4" xfId="0" applyFont="1" applyFill="1" applyBorder="1" applyAlignment="1" applyProtection="1">
      <alignment vertical="center" wrapText="1"/>
      <protection hidden="1"/>
    </xf>
    <xf numFmtId="0" fontId="19" fillId="16" borderId="26" xfId="2" applyFont="1" applyFill="1" applyBorder="1" applyAlignment="1" applyProtection="1">
      <alignment horizontal="center" vertical="center" wrapText="1"/>
      <protection hidden="1"/>
    </xf>
    <xf numFmtId="0" fontId="2" fillId="4" borderId="4" xfId="0" applyFont="1" applyFill="1" applyBorder="1" applyAlignment="1">
      <alignment vertical="center" wrapText="1"/>
    </xf>
    <xf numFmtId="0" fontId="2" fillId="4" borderId="4" xfId="0" applyFont="1" applyFill="1" applyBorder="1" applyAlignment="1" applyProtection="1">
      <alignment horizontal="center" vertical="center" wrapText="1"/>
      <protection hidden="1"/>
    </xf>
    <xf numFmtId="0" fontId="119" fillId="2" borderId="0" xfId="2" applyFont="1" applyFill="1" applyBorder="1" applyProtection="1">
      <protection hidden="1"/>
    </xf>
    <xf numFmtId="0" fontId="2" fillId="4" borderId="4" xfId="0" applyFont="1" applyFill="1" applyBorder="1" applyAlignment="1" applyProtection="1">
      <alignment horizontal="left" vertical="center" wrapText="1"/>
      <protection hidden="1"/>
    </xf>
    <xf numFmtId="3" fontId="8" fillId="20" borderId="10" xfId="0" applyNumberFormat="1" applyFont="1" applyFill="1" applyBorder="1" applyAlignment="1" applyProtection="1">
      <alignment horizontal="center" vertical="center"/>
      <protection locked="0"/>
    </xf>
    <xf numFmtId="3" fontId="8" fillId="20" borderId="8" xfId="0" applyNumberFormat="1" applyFont="1" applyFill="1" applyBorder="1" applyAlignment="1" applyProtection="1">
      <alignment horizontal="center" vertical="center"/>
      <protection locked="0"/>
    </xf>
    <xf numFmtId="0" fontId="40" fillId="2" borderId="0" xfId="0" applyFont="1" applyFill="1" applyAlignment="1" applyProtection="1">
      <alignment vertical="center"/>
      <protection hidden="1"/>
    </xf>
    <xf numFmtId="0" fontId="37" fillId="2" borderId="0" xfId="0" applyFont="1" applyFill="1" applyAlignment="1" applyProtection="1">
      <alignment vertical="center"/>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42" fillId="2" borderId="0" xfId="0" applyFont="1" applyFill="1" applyAlignment="1" applyProtection="1">
      <alignment horizontal="left" vertical="top" wrapText="1"/>
      <protection hidden="1"/>
    </xf>
    <xf numFmtId="0" fontId="0" fillId="2" borderId="0" xfId="0" applyFill="1" applyAlignment="1" applyProtection="1">
      <alignment horizontal="left" vertical="top"/>
      <protection hidden="1"/>
    </xf>
    <xf numFmtId="0" fontId="93" fillId="2" borderId="0" xfId="0" applyFont="1" applyFill="1"/>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92" fillId="2" borderId="0" xfId="0" applyFont="1" applyFill="1" applyAlignment="1" applyProtection="1">
      <alignment horizontal="left" vertical="center" wrapText="1"/>
      <protection hidden="1"/>
    </xf>
    <xf numFmtId="0" fontId="0" fillId="2" borderId="0" xfId="0" applyFont="1" applyFill="1" applyAlignment="1" applyProtection="1">
      <alignment horizontal="left" indent="1"/>
      <protection hidden="1"/>
    </xf>
    <xf numFmtId="0" fontId="0" fillId="2" borderId="0" xfId="0" applyFont="1" applyFill="1" applyProtection="1">
      <protection hidden="1"/>
    </xf>
    <xf numFmtId="0" fontId="0" fillId="2" borderId="0" xfId="0" applyFont="1" applyFill="1" applyAlignment="1" applyProtection="1">
      <alignment horizontal="left" indent="2"/>
      <protection hidden="1"/>
    </xf>
    <xf numFmtId="0" fontId="69" fillId="2" borderId="0" xfId="0" applyFont="1" applyFill="1" applyProtection="1">
      <protection hidden="1"/>
    </xf>
    <xf numFmtId="0" fontId="70" fillId="2" borderId="0" xfId="0" applyFont="1" applyFill="1" applyProtection="1">
      <protection hidden="1"/>
    </xf>
    <xf numFmtId="0" fontId="71" fillId="2" borderId="0" xfId="0" applyFont="1" applyFill="1" applyProtection="1">
      <protection hidden="1"/>
    </xf>
    <xf numFmtId="0" fontId="72" fillId="2" borderId="0" xfId="0" applyFont="1" applyFill="1" applyProtection="1">
      <protection hidden="1"/>
    </xf>
    <xf numFmtId="0" fontId="73" fillId="2" borderId="0" xfId="0" applyFont="1" applyFill="1" applyProtection="1">
      <protection hidden="1"/>
    </xf>
    <xf numFmtId="0" fontId="0" fillId="2" borderId="0" xfId="0" applyFont="1" applyFill="1" applyAlignment="1" applyProtection="1">
      <alignment vertical="top"/>
      <protection hidden="1"/>
    </xf>
    <xf numFmtId="0" fontId="74" fillId="2" borderId="0" xfId="0" applyFont="1" applyFill="1" applyProtection="1">
      <protection hidden="1"/>
    </xf>
    <xf numFmtId="0" fontId="71" fillId="2" borderId="0" xfId="0" applyFont="1" applyFill="1" applyAlignment="1" applyProtection="1">
      <alignment vertical="center" wrapText="1"/>
      <protection hidden="1"/>
    </xf>
    <xf numFmtId="0" fontId="0" fillId="2" borderId="0" xfId="0" applyFont="1" applyFill="1" applyAlignment="1" applyProtection="1">
      <alignment vertical="top" wrapText="1"/>
      <protection hidden="1"/>
    </xf>
    <xf numFmtId="0" fontId="38" fillId="2" borderId="0" xfId="0" applyFont="1" applyFill="1" applyProtection="1">
      <protection hidden="1"/>
    </xf>
    <xf numFmtId="0" fontId="24" fillId="2" borderId="0" xfId="3" applyFont="1" applyFill="1" applyAlignment="1" applyProtection="1">
      <alignment vertical="top"/>
      <protection hidden="1"/>
    </xf>
    <xf numFmtId="0" fontId="0" fillId="2" borderId="0" xfId="0" applyFont="1" applyFill="1" applyAlignment="1" applyProtection="1">
      <alignment horizontal="left" vertical="top" wrapText="1"/>
      <protection hidden="1"/>
    </xf>
    <xf numFmtId="0" fontId="0" fillId="2" borderId="0" xfId="0" applyFont="1" applyFill="1"/>
    <xf numFmtId="0" fontId="0" fillId="2" borderId="0" xfId="0" applyFont="1" applyFill="1" applyBorder="1"/>
    <xf numFmtId="0" fontId="20" fillId="2" borderId="0" xfId="2" applyFont="1" applyFill="1" applyAlignment="1" applyProtection="1">
      <protection hidden="1"/>
    </xf>
    <xf numFmtId="0" fontId="7" fillId="2" borderId="0" xfId="2" applyFont="1" applyFill="1" applyBorder="1" applyProtection="1">
      <protection hidden="1"/>
    </xf>
    <xf numFmtId="0" fontId="2" fillId="2" borderId="0" xfId="2" applyFont="1" applyFill="1" applyBorder="1" applyAlignment="1" applyProtection="1">
      <alignment vertical="center"/>
      <protection hidden="1"/>
    </xf>
    <xf numFmtId="0" fontId="21" fillId="2" borderId="0" xfId="2" applyFont="1" applyFill="1" applyBorder="1" applyAlignment="1" applyProtection="1">
      <alignment vertical="center"/>
      <protection hidden="1"/>
    </xf>
    <xf numFmtId="0" fontId="2" fillId="10" borderId="37" xfId="2" applyFill="1" applyBorder="1" applyProtection="1">
      <protection hidden="1"/>
    </xf>
    <xf numFmtId="0" fontId="2" fillId="10" borderId="38" xfId="2" applyFill="1" applyBorder="1" applyProtection="1">
      <protection hidden="1"/>
    </xf>
    <xf numFmtId="0" fontId="2" fillId="10" borderId="0" xfId="2" applyFill="1" applyBorder="1" applyProtection="1">
      <protection hidden="1"/>
    </xf>
    <xf numFmtId="0" fontId="2" fillId="10" borderId="40" xfId="2" applyFill="1" applyBorder="1" applyProtection="1">
      <protection hidden="1"/>
    </xf>
    <xf numFmtId="0" fontId="2" fillId="10" borderId="23" xfId="2" applyFill="1" applyBorder="1" applyProtection="1">
      <protection hidden="1"/>
    </xf>
    <xf numFmtId="0" fontId="2" fillId="10" borderId="24" xfId="2" applyFill="1" applyBorder="1" applyProtection="1">
      <protection hidden="1"/>
    </xf>
    <xf numFmtId="0" fontId="2" fillId="10" borderId="40" xfId="2" applyFill="1" applyBorder="1" applyAlignment="1" applyProtection="1">
      <alignment horizontal="left" indent="1"/>
      <protection hidden="1"/>
    </xf>
    <xf numFmtId="0" fontId="2" fillId="10" borderId="24" xfId="2" applyFill="1" applyBorder="1" applyAlignment="1" applyProtection="1">
      <alignment horizontal="left" indent="1"/>
      <protection hidden="1"/>
    </xf>
    <xf numFmtId="0" fontId="2" fillId="10" borderId="37" xfId="2" applyFill="1" applyBorder="1" applyAlignment="1" applyProtection="1">
      <alignment horizontal="left" indent="1"/>
      <protection hidden="1"/>
    </xf>
    <xf numFmtId="0" fontId="2" fillId="10" borderId="38" xfId="2" applyFill="1" applyBorder="1" applyAlignment="1" applyProtection="1">
      <alignment horizontal="left" indent="1"/>
      <protection hidden="1"/>
    </xf>
    <xf numFmtId="0" fontId="2" fillId="10" borderId="0" xfId="2" applyFill="1" applyBorder="1" applyAlignment="1" applyProtection="1">
      <alignment horizontal="left" indent="1"/>
      <protection hidden="1"/>
    </xf>
    <xf numFmtId="0" fontId="2" fillId="10" borderId="23" xfId="2" applyFill="1" applyBorder="1" applyAlignment="1" applyProtection="1">
      <alignment horizontal="left" indent="1"/>
      <protection hidden="1"/>
    </xf>
    <xf numFmtId="0" fontId="2" fillId="20" borderId="60" xfId="6" applyFont="1" applyFill="1" applyBorder="1" applyAlignment="1" applyProtection="1">
      <alignment horizontal="center"/>
      <protection locked="0"/>
    </xf>
    <xf numFmtId="0" fontId="0" fillId="20" borderId="60" xfId="0" applyFill="1" applyBorder="1" applyAlignment="1" applyProtection="1">
      <alignment horizontal="center"/>
      <protection locked="0"/>
    </xf>
    <xf numFmtId="0" fontId="21" fillId="20" borderId="60" xfId="6" applyFont="1" applyFill="1" applyBorder="1" applyAlignment="1" applyProtection="1">
      <alignment horizontal="center"/>
      <protection locked="0"/>
    </xf>
    <xf numFmtId="0" fontId="2" fillId="20" borderId="60" xfId="6" applyFill="1" applyBorder="1" applyAlignment="1" applyProtection="1">
      <alignment horizontal="center"/>
      <protection locked="0"/>
    </xf>
    <xf numFmtId="2" fontId="2" fillId="10" borderId="60" xfId="6" applyNumberFormat="1" applyFont="1" applyFill="1" applyBorder="1" applyAlignment="1" applyProtection="1">
      <alignment horizontal="center"/>
      <protection hidden="1"/>
    </xf>
    <xf numFmtId="9" fontId="0" fillId="20" borderId="60" xfId="1" applyFont="1" applyFill="1" applyBorder="1" applyAlignment="1" applyProtection="1">
      <alignment horizontal="center"/>
      <protection locked="0"/>
    </xf>
    <xf numFmtId="9" fontId="2" fillId="20" borderId="60" xfId="1" applyFont="1" applyFill="1" applyBorder="1" applyAlignment="1" applyProtection="1">
      <alignment horizontal="center"/>
      <protection locked="0"/>
    </xf>
    <xf numFmtId="0" fontId="2" fillId="10" borderId="60" xfId="6" applyFont="1" applyFill="1" applyBorder="1" applyAlignment="1" applyProtection="1">
      <alignment horizontal="center"/>
      <protection hidden="1"/>
    </xf>
    <xf numFmtId="165" fontId="2" fillId="10" borderId="60" xfId="6" applyNumberFormat="1" applyFont="1" applyFill="1" applyBorder="1" applyAlignment="1" applyProtection="1">
      <alignment horizontal="center"/>
      <protection hidden="1"/>
    </xf>
    <xf numFmtId="165" fontId="21" fillId="4" borderId="60" xfId="6" applyNumberFormat="1" applyFont="1" applyFill="1" applyBorder="1" applyAlignment="1" applyProtection="1">
      <alignment horizontal="center"/>
      <protection hidden="1"/>
    </xf>
    <xf numFmtId="0" fontId="20" fillId="2" borderId="0" xfId="2" applyFont="1" applyFill="1" applyBorder="1" applyAlignment="1" applyProtection="1">
      <protection hidden="1"/>
    </xf>
    <xf numFmtId="0" fontId="2" fillId="4" borderId="4"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15" borderId="0" xfId="0" applyFont="1" applyFill="1" applyBorder="1" applyAlignment="1">
      <alignment horizontal="center" vertical="center" wrapText="1"/>
    </xf>
    <xf numFmtId="0" fontId="14" fillId="20" borderId="4" xfId="0" applyNumberFormat="1" applyFont="1" applyFill="1" applyBorder="1" applyAlignment="1" applyProtection="1">
      <alignment horizontal="center" vertical="center" wrapText="1"/>
      <protection locked="0"/>
    </xf>
    <xf numFmtId="0" fontId="19" fillId="3" borderId="26" xfId="2" applyFont="1" applyFill="1" applyBorder="1" applyAlignment="1" applyProtection="1">
      <alignment horizontal="center" vertical="center" wrapText="1"/>
      <protection hidden="1"/>
    </xf>
    <xf numFmtId="0" fontId="19" fillId="5" borderId="26" xfId="2" applyFont="1" applyFill="1" applyBorder="1" applyAlignment="1" applyProtection="1">
      <alignment horizontal="center" vertical="center" wrapText="1"/>
      <protection hidden="1"/>
    </xf>
    <xf numFmtId="0" fontId="2" fillId="2" borderId="0" xfId="2" applyFill="1" applyBorder="1" applyAlignment="1" applyProtection="1">
      <alignment wrapText="1"/>
      <protection hidden="1"/>
    </xf>
    <xf numFmtId="0" fontId="14" fillId="15" borderId="4" xfId="0" applyFont="1" applyFill="1" applyBorder="1" applyAlignment="1">
      <alignment horizontal="left" vertical="center" wrapText="1" indent="2"/>
    </xf>
    <xf numFmtId="0" fontId="8" fillId="4" borderId="4" xfId="2" applyFont="1" applyFill="1" applyBorder="1" applyAlignment="1" applyProtection="1">
      <alignment horizontal="center" vertical="center"/>
      <protection hidden="1"/>
    </xf>
    <xf numFmtId="0" fontId="8" fillId="4" borderId="4" xfId="2" applyFont="1" applyFill="1" applyBorder="1" applyAlignment="1" applyProtection="1">
      <alignment horizontal="center" vertical="center" wrapText="1"/>
      <protection hidden="1"/>
    </xf>
    <xf numFmtId="0" fontId="71" fillId="2" borderId="0" xfId="0" applyFont="1" applyFill="1" applyAlignment="1" applyProtection="1">
      <alignment horizontal="left" indent="11"/>
      <protection hidden="1"/>
    </xf>
    <xf numFmtId="0" fontId="14" fillId="20" borderId="28" xfId="0" applyFont="1" applyFill="1" applyBorder="1" applyAlignment="1" applyProtection="1">
      <alignment horizontal="center" vertical="center" wrapText="1"/>
      <protection locked="0"/>
    </xf>
    <xf numFmtId="0" fontId="2" fillId="2" borderId="3" xfId="2" applyFill="1" applyBorder="1" applyProtection="1">
      <protection hidden="1"/>
    </xf>
    <xf numFmtId="0" fontId="11" fillId="3" borderId="10" xfId="2" applyFont="1" applyFill="1" applyBorder="1" applyAlignment="1" applyProtection="1">
      <alignment horizontal="center" vertical="center" wrapText="1"/>
      <protection hidden="1"/>
    </xf>
    <xf numFmtId="0" fontId="2" fillId="10" borderId="36" xfId="2" applyFont="1" applyFill="1" applyBorder="1" applyAlignment="1" applyProtection="1">
      <alignment horizontal="left" indent="6"/>
      <protection hidden="1"/>
    </xf>
    <xf numFmtId="0" fontId="71" fillId="2" borderId="0" xfId="0" applyFont="1" applyFill="1" applyAlignment="1" applyProtection="1">
      <alignment horizontal="left" indent="8"/>
      <protection hidden="1"/>
    </xf>
    <xf numFmtId="0" fontId="71" fillId="2" borderId="0" xfId="0" applyFont="1" applyFill="1" applyAlignment="1" applyProtection="1">
      <alignment horizontal="left"/>
      <protection hidden="1"/>
    </xf>
    <xf numFmtId="0" fontId="44" fillId="21" borderId="8"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14" fillId="15" borderId="4" xfId="0" applyFont="1" applyFill="1" applyBorder="1" applyAlignment="1">
      <alignment horizontal="center" vertical="center" wrapText="1"/>
    </xf>
    <xf numFmtId="0" fontId="2" fillId="4" borderId="4" xfId="0" applyFont="1" applyFill="1" applyBorder="1" applyAlignment="1" applyProtection="1">
      <alignment horizontal="center" vertical="center" wrapText="1"/>
      <protection hidden="1"/>
    </xf>
    <xf numFmtId="0" fontId="2" fillId="4" borderId="4" xfId="0" applyFont="1" applyFill="1" applyBorder="1" applyAlignment="1" applyProtection="1">
      <alignment horizontal="left"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2" fillId="10" borderId="36" xfId="2" applyFill="1" applyBorder="1" applyAlignment="1" applyProtection="1">
      <alignment horizontal="left" indent="7"/>
      <protection hidden="1"/>
    </xf>
    <xf numFmtId="0" fontId="2" fillId="10" borderId="39" xfId="2" applyFill="1" applyBorder="1" applyAlignment="1" applyProtection="1">
      <alignment horizontal="left" indent="8"/>
      <protection hidden="1"/>
    </xf>
    <xf numFmtId="0" fontId="2" fillId="10" borderId="37" xfId="2" applyFill="1" applyBorder="1" applyAlignment="1" applyProtection="1">
      <alignment horizontal="left" indent="5"/>
      <protection hidden="1"/>
    </xf>
    <xf numFmtId="0" fontId="2" fillId="10" borderId="38" xfId="2" applyFill="1" applyBorder="1" applyAlignment="1" applyProtection="1">
      <alignment horizontal="left" indent="5"/>
      <protection hidden="1"/>
    </xf>
    <xf numFmtId="0" fontId="2" fillId="10" borderId="40" xfId="2" applyFill="1" applyBorder="1" applyAlignment="1" applyProtection="1">
      <alignment horizontal="left" indent="8"/>
      <protection hidden="1"/>
    </xf>
    <xf numFmtId="0" fontId="2" fillId="10" borderId="37" xfId="2" applyFill="1" applyBorder="1" applyAlignment="1" applyProtection="1">
      <alignment horizontal="left" indent="6"/>
      <protection hidden="1"/>
    </xf>
    <xf numFmtId="0" fontId="2" fillId="10" borderId="38" xfId="2" applyFill="1" applyBorder="1" applyAlignment="1" applyProtection="1">
      <alignment horizontal="left" indent="6"/>
      <protection hidden="1"/>
    </xf>
    <xf numFmtId="0" fontId="2" fillId="10" borderId="36" xfId="2" applyFont="1" applyFill="1" applyBorder="1" applyAlignment="1" applyProtection="1">
      <alignment horizontal="left" indent="7"/>
      <protection hidden="1"/>
    </xf>
    <xf numFmtId="0" fontId="2" fillId="10" borderId="22" xfId="2" applyFont="1" applyFill="1" applyBorder="1" applyAlignment="1" applyProtection="1">
      <alignment horizontal="left" indent="8"/>
      <protection hidden="1"/>
    </xf>
    <xf numFmtId="0" fontId="14" fillId="15" borderId="4" xfId="0" applyFont="1" applyFill="1" applyBorder="1" applyAlignment="1">
      <alignment vertical="center" wrapText="1"/>
    </xf>
    <xf numFmtId="0" fontId="2" fillId="20" borderId="4" xfId="0" applyFont="1" applyFill="1" applyBorder="1" applyAlignment="1" applyProtection="1">
      <alignment horizontal="center" vertical="center"/>
      <protection locked="0"/>
    </xf>
    <xf numFmtId="164" fontId="8" fillId="9" borderId="0" xfId="1" applyNumberFormat="1" applyFont="1" applyFill="1" applyBorder="1" applyAlignment="1" applyProtection="1">
      <alignment horizontal="center" vertical="center" wrapText="1"/>
      <protection hidden="1"/>
    </xf>
    <xf numFmtId="0" fontId="133" fillId="11" borderId="0" xfId="0" applyFont="1" applyFill="1" applyAlignment="1" applyProtection="1">
      <alignment vertical="center"/>
      <protection hidden="1"/>
    </xf>
    <xf numFmtId="0" fontId="134" fillId="11" borderId="0" xfId="0" applyFont="1" applyFill="1" applyAlignment="1" applyProtection="1">
      <alignment vertical="center"/>
      <protection hidden="1"/>
    </xf>
    <xf numFmtId="0" fontId="135" fillId="12" borderId="0" xfId="2" applyFont="1" applyFill="1" applyBorder="1" applyAlignment="1" applyProtection="1">
      <alignment horizontal="left" vertical="center" wrapText="1"/>
      <protection hidden="1"/>
    </xf>
    <xf numFmtId="0" fontId="132" fillId="11" borderId="0" xfId="0" applyFont="1" applyFill="1" applyProtection="1">
      <protection hidden="1"/>
    </xf>
    <xf numFmtId="0" fontId="2" fillId="2" borderId="0" xfId="2" applyFill="1" applyAlignment="1" applyProtection="1">
      <alignment horizontal="left" indent="6"/>
      <protection hidden="1"/>
    </xf>
    <xf numFmtId="0" fontId="2" fillId="10" borderId="0" xfId="2" applyFill="1" applyBorder="1" applyAlignment="1" applyProtection="1">
      <alignment horizontal="left" indent="8"/>
      <protection hidden="1"/>
    </xf>
    <xf numFmtId="0" fontId="2" fillId="23" borderId="0" xfId="2" applyFill="1" applyAlignment="1" applyProtection="1">
      <alignment horizontal="left" indent="6"/>
      <protection hidden="1"/>
    </xf>
    <xf numFmtId="0" fontId="2" fillId="23" borderId="0" xfId="2" applyFill="1" applyAlignment="1" applyProtection="1">
      <alignment horizontal="left" indent="7"/>
      <protection hidden="1"/>
    </xf>
    <xf numFmtId="9" fontId="14" fillId="20" borderId="4" xfId="1" applyFont="1" applyFill="1" applyBorder="1" applyAlignment="1" applyProtection="1">
      <alignment vertical="center"/>
      <protection locked="0"/>
    </xf>
    <xf numFmtId="9" fontId="14" fillId="20" borderId="4" xfId="1" applyFont="1" applyFill="1" applyBorder="1" applyAlignment="1" applyProtection="1">
      <alignment horizontal="center" vertical="center"/>
      <protection locked="0"/>
    </xf>
    <xf numFmtId="0" fontId="14" fillId="20" borderId="4" xfId="1" applyNumberFormat="1" applyFont="1" applyFill="1" applyBorder="1" applyAlignment="1" applyProtection="1">
      <alignment horizontal="center" vertical="center"/>
      <protection locked="0"/>
    </xf>
    <xf numFmtId="9" fontId="14" fillId="20" borderId="28" xfId="1" applyFont="1" applyFill="1" applyBorder="1" applyProtection="1">
      <protection locked="0"/>
    </xf>
    <xf numFmtId="9" fontId="14" fillId="20" borderId="28" xfId="1" applyFont="1" applyFill="1" applyBorder="1" applyAlignment="1" applyProtection="1">
      <alignment horizontal="center"/>
      <protection locked="0"/>
    </xf>
    <xf numFmtId="0" fontId="14" fillId="20" borderId="28" xfId="1" applyNumberFormat="1" applyFont="1" applyFill="1" applyBorder="1" applyAlignment="1" applyProtection="1">
      <alignment horizontal="center"/>
      <protection locked="0"/>
    </xf>
    <xf numFmtId="9" fontId="14" fillId="20" borderId="28" xfId="1" applyFont="1" applyFill="1" applyBorder="1" applyAlignment="1" applyProtection="1">
      <alignment vertical="center"/>
      <protection locked="0"/>
    </xf>
    <xf numFmtId="9" fontId="14" fillId="20" borderId="28" xfId="1" applyFont="1" applyFill="1" applyBorder="1" applyAlignment="1" applyProtection="1">
      <alignment horizontal="center" vertical="center"/>
      <protection locked="0"/>
    </xf>
    <xf numFmtId="0" fontId="14" fillId="20" borderId="28" xfId="1" applyNumberFormat="1" applyFont="1" applyFill="1" applyBorder="1" applyAlignment="1" applyProtection="1">
      <alignment horizontal="center" vertical="center"/>
      <protection locked="0"/>
    </xf>
    <xf numFmtId="0" fontId="21" fillId="10" borderId="1" xfId="2" applyFont="1" applyFill="1" applyBorder="1" applyAlignment="1" applyProtection="1">
      <alignment horizontal="center" vertical="center"/>
      <protection hidden="1"/>
    </xf>
    <xf numFmtId="0" fontId="2" fillId="10" borderId="22" xfId="2" applyFill="1" applyBorder="1" applyAlignment="1" applyProtection="1">
      <alignment horizontal="left" indent="7"/>
      <protection hidden="1"/>
    </xf>
    <xf numFmtId="0" fontId="2" fillId="2" borderId="0" xfId="2" applyFont="1" applyFill="1" applyBorder="1" applyAlignment="1" applyProtection="1">
      <alignment horizontal="left" vertical="center" indent="5"/>
      <protection hidden="1"/>
    </xf>
    <xf numFmtId="0" fontId="2" fillId="2" borderId="0" xfId="2" applyFont="1" applyFill="1" applyBorder="1" applyAlignment="1" applyProtection="1">
      <alignment horizontal="left" vertical="center" indent="6"/>
      <protection hidden="1"/>
    </xf>
    <xf numFmtId="0" fontId="2" fillId="2" borderId="0" xfId="2" applyFill="1" applyBorder="1" applyAlignment="1" applyProtection="1">
      <alignment horizontal="left" vertical="center" indent="6"/>
      <protection hidden="1"/>
    </xf>
    <xf numFmtId="0" fontId="2" fillId="4" borderId="4" xfId="0" applyFont="1" applyFill="1" applyBorder="1" applyAlignment="1" applyProtection="1">
      <alignment horizontal="center" vertical="center" wrapText="1"/>
      <protection hidden="1"/>
    </xf>
    <xf numFmtId="0" fontId="22" fillId="14" borderId="40" xfId="2"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99" fillId="2" borderId="0" xfId="0" applyFont="1" applyFill="1" applyAlignment="1">
      <alignment horizontal="left" vertical="center" wrapText="1" indent="7"/>
    </xf>
    <xf numFmtId="0" fontId="21" fillId="2" borderId="0" xfId="2" applyFont="1" applyFill="1" applyBorder="1" applyAlignment="1" applyProtection="1">
      <alignment horizontal="left" indent="4"/>
      <protection hidden="1"/>
    </xf>
    <xf numFmtId="0" fontId="21" fillId="2" borderId="0" xfId="2" applyFont="1" applyFill="1" applyBorder="1" applyAlignment="1" applyProtection="1">
      <alignment horizontal="left" indent="5"/>
      <protection hidden="1"/>
    </xf>
    <xf numFmtId="0" fontId="2" fillId="2" borderId="0" xfId="2" applyFont="1" applyFill="1" applyBorder="1" applyAlignment="1" applyProtection="1">
      <alignment horizontal="left" vertical="center"/>
      <protection hidden="1"/>
    </xf>
    <xf numFmtId="0" fontId="2" fillId="10" borderId="39" xfId="2" applyFill="1" applyBorder="1" applyAlignment="1" applyProtection="1">
      <alignment horizontal="left" indent="6"/>
      <protection hidden="1"/>
    </xf>
    <xf numFmtId="0" fontId="2" fillId="10" borderId="39" xfId="2" applyFill="1" applyBorder="1" applyAlignment="1" applyProtection="1">
      <alignment horizontal="left" indent="9"/>
      <protection hidden="1"/>
    </xf>
    <xf numFmtId="0" fontId="2" fillId="10" borderId="0" xfId="2" applyFill="1" applyBorder="1" applyAlignment="1" applyProtection="1">
      <alignment horizontal="left" indent="6"/>
      <protection hidden="1"/>
    </xf>
    <xf numFmtId="0" fontId="2" fillId="10" borderId="40" xfId="2" applyFill="1" applyBorder="1" applyAlignment="1" applyProtection="1">
      <alignment horizontal="left" indent="6"/>
      <protection hidden="1"/>
    </xf>
    <xf numFmtId="0" fontId="99" fillId="10" borderId="0" xfId="0" applyFont="1" applyFill="1" applyBorder="1" applyAlignment="1">
      <alignment horizontal="left" vertical="center" wrapText="1" indent="15"/>
    </xf>
    <xf numFmtId="0" fontId="99" fillId="10" borderId="40" xfId="0" applyFont="1" applyFill="1" applyBorder="1" applyAlignment="1">
      <alignment horizontal="left" vertical="center" wrapText="1" indent="15"/>
    </xf>
    <xf numFmtId="0" fontId="2" fillId="10" borderId="39" xfId="2" quotePrefix="1" applyFill="1" applyBorder="1" applyAlignment="1" applyProtection="1">
      <alignment horizontal="left" indent="8"/>
      <protection hidden="1"/>
    </xf>
    <xf numFmtId="0" fontId="2" fillId="10" borderId="37" xfId="2" applyFill="1" applyBorder="1" applyAlignment="1" applyProtection="1">
      <alignment horizontal="left" vertical="center" wrapText="1"/>
      <protection hidden="1"/>
    </xf>
    <xf numFmtId="0" fontId="2" fillId="10" borderId="38" xfId="2" applyFill="1" applyBorder="1" applyAlignment="1" applyProtection="1">
      <alignment horizontal="left" vertical="center" wrapText="1"/>
      <protection hidden="1"/>
    </xf>
    <xf numFmtId="0" fontId="2" fillId="10" borderId="0" xfId="2" applyFill="1" applyBorder="1" applyAlignment="1" applyProtection="1">
      <alignment horizontal="left" vertical="center" wrapText="1"/>
      <protection hidden="1"/>
    </xf>
    <xf numFmtId="0" fontId="2" fillId="10" borderId="40" xfId="2" applyFill="1" applyBorder="1" applyAlignment="1" applyProtection="1">
      <alignment horizontal="left" vertical="center" wrapText="1"/>
      <protection hidden="1"/>
    </xf>
    <xf numFmtId="0" fontId="2" fillId="10" borderId="23" xfId="2" applyFont="1" applyFill="1" applyBorder="1" applyAlignment="1" applyProtection="1">
      <alignment horizontal="left" vertical="center" wrapText="1" indent="8"/>
      <protection hidden="1"/>
    </xf>
    <xf numFmtId="0" fontId="2" fillId="10" borderId="24" xfId="2" applyFont="1" applyFill="1" applyBorder="1" applyAlignment="1" applyProtection="1">
      <alignment horizontal="left" vertical="center" wrapText="1" indent="8"/>
      <protection hidden="1"/>
    </xf>
    <xf numFmtId="0" fontId="19" fillId="7" borderId="26" xfId="2" applyFont="1" applyFill="1" applyBorder="1" applyAlignment="1" applyProtection="1">
      <alignment horizontal="center" vertical="center" wrapText="1"/>
      <protection hidden="1"/>
    </xf>
    <xf numFmtId="0" fontId="2" fillId="4" borderId="4"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1" fillId="22" borderId="0" xfId="2" applyFont="1" applyFill="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ill="1" applyBorder="1" applyProtection="1">
      <protection locked="0" hidden="1"/>
    </xf>
    <xf numFmtId="0" fontId="2" fillId="2" borderId="35" xfId="2" applyFill="1" applyBorder="1" applyProtection="1">
      <protection hidden="1"/>
    </xf>
    <xf numFmtId="0" fontId="2" fillId="2" borderId="7" xfId="2" applyFill="1" applyBorder="1" applyProtection="1">
      <protection hidden="1"/>
    </xf>
    <xf numFmtId="0" fontId="21" fillId="2" borderId="0" xfId="2" applyFont="1" applyFill="1" applyBorder="1" applyAlignment="1" applyProtection="1">
      <alignment horizontal="left" indent="6"/>
      <protection hidden="1"/>
    </xf>
    <xf numFmtId="0" fontId="20" fillId="2" borderId="0" xfId="2" applyFont="1" applyFill="1" applyBorder="1" applyAlignment="1" applyProtection="1">
      <alignment horizontal="left" vertical="center" indent="5"/>
      <protection hidden="1"/>
    </xf>
    <xf numFmtId="0" fontId="2" fillId="27" borderId="0" xfId="2" applyFont="1" applyFill="1" applyBorder="1" applyAlignment="1" applyProtection="1">
      <alignment horizontal="left" indent="1"/>
      <protection hidden="1"/>
    </xf>
    <xf numFmtId="0" fontId="2" fillId="27" borderId="0" xfId="2" applyFont="1" applyFill="1" applyBorder="1" applyAlignment="1" applyProtection="1">
      <alignment horizontal="left" vertical="center" indent="6"/>
      <protection hidden="1"/>
    </xf>
    <xf numFmtId="0" fontId="2" fillId="27" borderId="0" xfId="2" applyFill="1" applyBorder="1" applyAlignment="1" applyProtection="1">
      <alignment horizontal="left" indent="1"/>
      <protection hidden="1"/>
    </xf>
    <xf numFmtId="0" fontId="2" fillId="4" borderId="32" xfId="0" applyFont="1" applyFill="1" applyBorder="1" applyAlignment="1" applyProtection="1">
      <alignment horizontal="right" vertical="center" wrapText="1"/>
      <protection hidden="1"/>
    </xf>
    <xf numFmtId="0" fontId="8" fillId="9" borderId="41" xfId="1" applyNumberFormat="1" applyFont="1" applyFill="1" applyBorder="1" applyAlignment="1" applyProtection="1">
      <alignment horizontal="center" vertical="center" wrapText="1"/>
      <protection hidden="1"/>
    </xf>
    <xf numFmtId="0" fontId="19" fillId="6" borderId="26" xfId="2" applyFont="1" applyFill="1" applyBorder="1" applyAlignment="1" applyProtection="1">
      <alignment horizontal="center" vertical="center" wrapText="1"/>
      <protection hidden="1"/>
    </xf>
    <xf numFmtId="0" fontId="19" fillId="6" borderId="79" xfId="2"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 fillId="2" borderId="0" xfId="2" applyFill="1" applyBorder="1" applyAlignment="1" applyProtection="1">
      <alignment horizontal="left" indent="5"/>
      <protection hidden="1"/>
    </xf>
    <xf numFmtId="0" fontId="2" fillId="2" borderId="0" xfId="2" applyFill="1" applyBorder="1" applyAlignment="1" applyProtection="1">
      <alignment horizontal="left" vertical="center" indent="5"/>
      <protection hidden="1"/>
    </xf>
    <xf numFmtId="0" fontId="20" fillId="2" borderId="0" xfId="0" applyFont="1" applyFill="1" applyBorder="1" applyAlignment="1" applyProtection="1">
      <alignment horizontal="left" vertical="center" wrapText="1" indent="5"/>
      <protection hidden="1"/>
    </xf>
    <xf numFmtId="0" fontId="13" fillId="6" borderId="7" xfId="0"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167" fontId="14" fillId="20" borderId="4" xfId="0" applyNumberFormat="1" applyFont="1" applyFill="1" applyBorder="1" applyAlignment="1" applyProtection="1">
      <alignment horizontal="center" vertical="center" wrapText="1"/>
      <protection locked="0"/>
    </xf>
    <xf numFmtId="0" fontId="2" fillId="4" borderId="4" xfId="4" applyNumberFormat="1" applyFont="1" applyFill="1" applyBorder="1" applyAlignment="1" applyProtection="1">
      <alignment horizontal="center"/>
      <protection hidden="1"/>
    </xf>
    <xf numFmtId="2" fontId="21" fillId="9" borderId="4" xfId="4" applyNumberFormat="1"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6"/>
      <protection hidden="1"/>
    </xf>
    <xf numFmtId="0" fontId="2" fillId="4" borderId="4"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ont="1" applyFill="1" applyBorder="1" applyAlignment="1">
      <alignment horizontal="left" indent="6"/>
    </xf>
    <xf numFmtId="0" fontId="21" fillId="2" borderId="0" xfId="2" applyFont="1" applyFill="1" applyBorder="1" applyAlignment="1">
      <alignment horizontal="left" indent="5"/>
    </xf>
    <xf numFmtId="0" fontId="20" fillId="2" borderId="0" xfId="2" applyFont="1" applyFill="1" applyAlignment="1" applyProtection="1">
      <alignment horizontal="left" indent="5"/>
      <protection hidden="1"/>
    </xf>
    <xf numFmtId="0" fontId="20" fillId="22" borderId="0" xfId="2" applyFont="1" applyFill="1" applyAlignment="1" applyProtection="1">
      <alignment horizontal="left" indent="5"/>
      <protection hidden="1"/>
    </xf>
    <xf numFmtId="0" fontId="2" fillId="10" borderId="39" xfId="2" applyFont="1" applyFill="1" applyBorder="1" applyAlignment="1" applyProtection="1">
      <alignment horizontal="left" indent="9"/>
      <protection hidden="1"/>
    </xf>
    <xf numFmtId="0" fontId="2" fillId="10" borderId="22" xfId="2" applyFont="1" applyFill="1" applyBorder="1" applyAlignment="1" applyProtection="1">
      <alignment horizontal="left" indent="9"/>
      <protection hidden="1"/>
    </xf>
    <xf numFmtId="0" fontId="20" fillId="2" borderId="0" xfId="2" applyFont="1" applyFill="1" applyBorder="1" applyAlignment="1" applyProtection="1">
      <alignment horizontal="left" indent="6"/>
      <protection hidden="1"/>
    </xf>
    <xf numFmtId="0" fontId="21" fillId="2" borderId="0" xfId="2" applyFont="1" applyFill="1" applyBorder="1" applyAlignment="1" applyProtection="1">
      <alignment horizontal="left" vertical="center" indent="5"/>
      <protection hidden="1"/>
    </xf>
    <xf numFmtId="0" fontId="20" fillId="2" borderId="0" xfId="2" applyFont="1" applyFill="1" applyAlignment="1" applyProtection="1">
      <alignment horizontal="left" vertical="center" indent="5"/>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166" fontId="14" fillId="20" borderId="4" xfId="0" applyNumberFormat="1" applyFont="1" applyFill="1" applyBorder="1" applyAlignment="1" applyProtection="1">
      <alignment horizontal="center" vertical="center" wrapText="1"/>
      <protection locked="0"/>
    </xf>
    <xf numFmtId="10" fontId="14" fillId="4" borderId="28" xfId="1" applyNumberFormat="1" applyFont="1" applyFill="1" applyBorder="1" applyAlignment="1" applyProtection="1">
      <alignment horizontal="center" vertical="center" wrapText="1"/>
      <protection hidden="1"/>
    </xf>
    <xf numFmtId="0" fontId="21" fillId="22" borderId="0" xfId="2" applyFont="1" applyFill="1" applyBorder="1" applyAlignment="1" applyProtection="1">
      <alignment horizontal="left" indent="5"/>
      <protection hidden="1"/>
    </xf>
    <xf numFmtId="0" fontId="20" fillId="22" borderId="0" xfId="2" applyFont="1" applyFill="1" applyBorder="1" applyAlignment="1" applyProtection="1">
      <alignment horizontal="left" vertical="center" indent="5"/>
      <protection hidden="1"/>
    </xf>
    <xf numFmtId="0" fontId="14" fillId="20" borderId="10" xfId="0" applyNumberFormat="1" applyFont="1" applyFill="1" applyBorder="1" applyAlignment="1" applyProtection="1">
      <alignment horizontal="center" vertical="center" wrapText="1"/>
      <protection locked="0"/>
    </xf>
    <xf numFmtId="0" fontId="20" fillId="23" borderId="0" xfId="2" applyFont="1" applyFill="1" applyBorder="1" applyAlignment="1" applyProtection="1">
      <alignment horizontal="left" vertical="center" indent="5"/>
      <protection hidden="1"/>
    </xf>
    <xf numFmtId="0" fontId="14" fillId="2" borderId="0" xfId="0" applyFont="1" applyFill="1" applyAlignment="1">
      <alignment wrapText="1"/>
    </xf>
    <xf numFmtId="0" fontId="2" fillId="10" borderId="22" xfId="2" applyFont="1" applyFill="1" applyBorder="1" applyAlignment="1" applyProtection="1">
      <alignment horizontal="left" indent="7"/>
      <protection hidden="1"/>
    </xf>
    <xf numFmtId="0" fontId="0" fillId="2" borderId="0" xfId="0" applyFont="1" applyFill="1" applyAlignment="1" applyProtection="1">
      <alignment horizontal="left" vertical="top" wrapText="1" indent="2"/>
      <protection hidden="1"/>
    </xf>
    <xf numFmtId="0" fontId="0" fillId="2" borderId="0" xfId="0" applyFill="1" applyAlignment="1" applyProtection="1">
      <alignment horizontal="left" vertical="top" wrapText="1"/>
      <protection hidden="1"/>
    </xf>
    <xf numFmtId="0" fontId="14" fillId="20" borderId="10" xfId="0" applyFont="1" applyFill="1" applyBorder="1" applyAlignment="1" applyProtection="1">
      <alignment horizontal="center" vertical="center" wrapText="1"/>
      <protection locked="0"/>
    </xf>
    <xf numFmtId="0" fontId="14" fillId="11" borderId="0" xfId="0" applyFont="1" applyFill="1"/>
    <xf numFmtId="0" fontId="18" fillId="11" borderId="15" xfId="0" applyFont="1" applyFill="1" applyBorder="1" applyAlignment="1">
      <alignment horizontal="left" vertical="center"/>
    </xf>
    <xf numFmtId="0" fontId="0" fillId="31" borderId="0" xfId="0" applyFont="1" applyFill="1" applyProtection="1">
      <protection hidden="1"/>
    </xf>
    <xf numFmtId="0" fontId="0" fillId="31" borderId="0" xfId="0" applyFont="1" applyFill="1"/>
    <xf numFmtId="0" fontId="2" fillId="11" borderId="0" xfId="2" applyFont="1" applyFill="1" applyBorder="1" applyAlignment="1">
      <alignment vertical="center"/>
    </xf>
    <xf numFmtId="0" fontId="18" fillId="0" borderId="0" xfId="0" applyFont="1" applyAlignment="1">
      <alignment vertical="center"/>
    </xf>
    <xf numFmtId="0" fontId="2" fillId="11" borderId="0" xfId="2" applyFont="1" applyFill="1" applyBorder="1" applyAlignment="1">
      <alignment wrapText="1"/>
    </xf>
    <xf numFmtId="0" fontId="18" fillId="0" borderId="0" xfId="0" applyFont="1" applyAlignment="1">
      <alignment wrapText="1"/>
    </xf>
    <xf numFmtId="0" fontId="144"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2" fillId="4" borderId="4" xfId="0" applyFont="1" applyFill="1" applyBorder="1" applyAlignment="1" applyProtection="1">
      <alignment horizontal="center" vertical="center" wrapText="1"/>
      <protection hidden="1"/>
    </xf>
    <xf numFmtId="0" fontId="14" fillId="20" borderId="51" xfId="0" applyFont="1" applyFill="1" applyBorder="1" applyAlignment="1" applyProtection="1">
      <alignment horizontal="center" vertical="center" wrapText="1"/>
      <protection locked="0"/>
    </xf>
    <xf numFmtId="0" fontId="14" fillId="20" borderId="52"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2" fillId="4" borderId="4" xfId="0" applyFont="1" applyFill="1" applyBorder="1" applyAlignment="1" applyProtection="1">
      <alignment horizontal="left" vertical="center" wrapText="1"/>
      <protection hidden="1"/>
    </xf>
    <xf numFmtId="0" fontId="21" fillId="2" borderId="0" xfId="2" applyFont="1" applyFill="1" applyBorder="1" applyAlignment="1" applyProtection="1">
      <alignment horizontal="left" indent="5"/>
      <protection hidden="1"/>
    </xf>
    <xf numFmtId="0" fontId="0" fillId="7" borderId="0" xfId="0" applyFill="1" applyAlignment="1">
      <alignment horizontal="left"/>
    </xf>
    <xf numFmtId="0" fontId="2" fillId="2" borderId="0" xfId="2" applyFill="1" applyBorder="1" applyAlignment="1">
      <alignment horizontal="left" indent="5"/>
    </xf>
    <xf numFmtId="0" fontId="2" fillId="2" borderId="0" xfId="2" applyFill="1" applyBorder="1" applyAlignment="1">
      <alignment horizontal="left" indent="6"/>
    </xf>
    <xf numFmtId="0" fontId="2" fillId="2" borderId="0" xfId="2" applyFill="1" applyAlignment="1" applyProtection="1">
      <alignment horizontal="left" indent="5"/>
      <protection hidden="1"/>
    </xf>
    <xf numFmtId="0" fontId="2" fillId="2" borderId="0" xfId="2" applyFont="1" applyFill="1" applyBorder="1" applyAlignment="1"/>
    <xf numFmtId="0" fontId="2" fillId="2" borderId="0" xfId="0" applyFont="1" applyFill="1" applyBorder="1" applyAlignment="1" applyProtection="1">
      <alignment horizontal="left" vertical="center" wrapText="1"/>
      <protection hidden="1"/>
    </xf>
    <xf numFmtId="0" fontId="2" fillId="2" borderId="0" xfId="2" applyFont="1" applyFill="1" applyBorder="1" applyAlignment="1" applyProtection="1">
      <alignment horizontal="left" indent="5"/>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2" fillId="4" borderId="4" xfId="4" applyNumberFormat="1" applyFont="1" applyFill="1" applyBorder="1" applyAlignment="1" applyProtection="1">
      <alignment horizontal="center" vertical="center"/>
      <protection hidden="1"/>
    </xf>
    <xf numFmtId="0" fontId="2" fillId="20" borderId="4" xfId="4" applyNumberFormat="1" applyFont="1" applyFill="1" applyBorder="1" applyAlignment="1" applyProtection="1">
      <alignment horizontal="center" vertical="center"/>
      <protection locked="0"/>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13" fillId="13" borderId="7" xfId="0" applyFont="1" applyFill="1" applyBorder="1" applyAlignment="1" applyProtection="1">
      <alignment horizontal="center" vertical="center"/>
      <protection hidden="1"/>
    </xf>
    <xf numFmtId="0" fontId="2" fillId="4" borderId="4" xfId="0" applyFont="1" applyFill="1" applyBorder="1" applyAlignment="1" applyProtection="1">
      <alignment horizontal="left" vertical="center" wrapText="1"/>
      <protection hidden="1"/>
    </xf>
    <xf numFmtId="0" fontId="149" fillId="2" borderId="0" xfId="3" applyFont="1" applyFill="1" applyAlignment="1" applyProtection="1">
      <alignment horizontal="center"/>
      <protection hidden="1"/>
    </xf>
    <xf numFmtId="0" fontId="11" fillId="5" borderId="55" xfId="2" applyFont="1" applyFill="1" applyBorder="1" applyAlignment="1" applyProtection="1">
      <alignment horizontal="center" vertical="center"/>
      <protection hidden="1"/>
    </xf>
    <xf numFmtId="0" fontId="2" fillId="2" borderId="0" xfId="2" applyFill="1" applyBorder="1" applyAlignment="1" applyProtection="1">
      <alignment horizontal="left" indent="4"/>
      <protection hidden="1"/>
    </xf>
    <xf numFmtId="0" fontId="2" fillId="2" borderId="0" xfId="2" applyFont="1" applyFill="1" applyBorder="1" applyAlignment="1" applyProtection="1">
      <alignment horizontal="left"/>
      <protection hidden="1"/>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 fillId="11" borderId="0" xfId="2" applyFont="1" applyFill="1" applyBorder="1" applyAlignment="1">
      <alignment horizontal="left" vertical="center" wrapText="1"/>
    </xf>
    <xf numFmtId="0" fontId="150" fillId="2" borderId="0" xfId="2" applyFont="1" applyFill="1" applyAlignment="1" applyProtection="1">
      <alignment horizontal="left" vertical="center" indent="1"/>
      <protection hidden="1"/>
    </xf>
    <xf numFmtId="0" fontId="2" fillId="24" borderId="0" xfId="2" applyFill="1" applyAlignment="1" applyProtection="1">
      <alignment horizontal="left" indent="1"/>
      <protection hidden="1"/>
    </xf>
    <xf numFmtId="0" fontId="2" fillId="24" borderId="0" xfId="2" applyFill="1" applyBorder="1" applyProtection="1">
      <protection hidden="1"/>
    </xf>
    <xf numFmtId="0" fontId="0" fillId="24" borderId="0" xfId="0" applyFill="1" applyProtection="1">
      <protection hidden="1"/>
    </xf>
    <xf numFmtId="0" fontId="13" fillId="17" borderId="32" xfId="4" applyFont="1" applyFill="1" applyBorder="1" applyAlignment="1" applyProtection="1">
      <alignment horizontal="center" vertical="distributed" wrapText="1"/>
      <protection hidden="1"/>
    </xf>
    <xf numFmtId="0" fontId="13" fillId="17" borderId="3" xfId="4" applyFont="1" applyFill="1" applyBorder="1" applyAlignment="1" applyProtection="1">
      <alignment horizontal="center" vertical="distributed" wrapText="1"/>
      <protection hidden="1"/>
    </xf>
    <xf numFmtId="0" fontId="13" fillId="17" borderId="7" xfId="4" applyFont="1" applyFill="1" applyBorder="1" applyAlignment="1" applyProtection="1">
      <alignment horizontal="center" vertical="center" wrapText="1"/>
      <protection hidden="1"/>
    </xf>
    <xf numFmtId="0" fontId="13" fillId="17" borderId="8" xfId="4" applyNumberFormat="1" applyFont="1" applyFill="1" applyBorder="1" applyAlignment="1" applyProtection="1">
      <alignment horizontal="center" vertical="center" wrapText="1"/>
      <protection hidden="1"/>
    </xf>
    <xf numFmtId="0" fontId="21" fillId="24" borderId="0" xfId="2" applyFont="1" applyFill="1" applyAlignment="1" applyProtection="1">
      <alignment horizontal="left" indent="5"/>
      <protection hidden="1"/>
    </xf>
    <xf numFmtId="0" fontId="71" fillId="2" borderId="0" xfId="0" applyFont="1" applyFill="1" applyAlignment="1" applyProtection="1">
      <alignment horizontal="left" indent="1"/>
      <protection hidden="1"/>
    </xf>
    <xf numFmtId="0" fontId="2" fillId="22" borderId="3" xfId="2" applyFill="1" applyBorder="1" applyProtection="1">
      <protection hidden="1"/>
    </xf>
    <xf numFmtId="0" fontId="2" fillId="4" borderId="4"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9" fillId="6" borderId="83" xfId="2" applyFont="1" applyFill="1" applyBorder="1" applyAlignment="1" applyProtection="1">
      <alignment horizontal="center" vertical="center" wrapText="1"/>
      <protection hidden="1"/>
    </xf>
    <xf numFmtId="0" fontId="21" fillId="11" borderId="5" xfId="2" applyFont="1" applyFill="1" applyBorder="1" applyAlignment="1" applyProtection="1">
      <alignment horizontal="center" vertical="center"/>
      <protection hidden="1"/>
    </xf>
    <xf numFmtId="0" fontId="2" fillId="2" borderId="0" xfId="2" applyFill="1" applyBorder="1" applyAlignment="1" applyProtection="1">
      <alignment horizontal="left" wrapText="1"/>
      <protection hidden="1"/>
    </xf>
    <xf numFmtId="0" fontId="11" fillId="3" borderId="3" xfId="2"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wrapText="1"/>
      <protection hidden="1"/>
    </xf>
    <xf numFmtId="0" fontId="21" fillId="2" borderId="0" xfId="2" applyFont="1" applyFill="1" applyBorder="1" applyAlignment="1" applyProtection="1">
      <alignment horizontal="left" indent="5"/>
      <protection hidden="1"/>
    </xf>
    <xf numFmtId="0" fontId="24" fillId="14" borderId="36" xfId="3"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4" fillId="20" borderId="10" xfId="0" applyFont="1" applyFill="1" applyBorder="1" applyAlignment="1" applyProtection="1">
      <alignment horizontal="left" vertical="center" wrapText="1"/>
      <protection locked="0"/>
    </xf>
    <xf numFmtId="0" fontId="21" fillId="2" borderId="0" xfId="2" applyFont="1" applyFill="1" applyBorder="1" applyAlignment="1" applyProtection="1">
      <alignment horizontal="left" indent="5"/>
      <protection hidden="1"/>
    </xf>
    <xf numFmtId="0" fontId="14" fillId="4" borderId="28" xfId="1" applyNumberFormat="1" applyFont="1" applyFill="1" applyBorder="1" applyAlignment="1" applyProtection="1">
      <alignment horizontal="center" vertical="center" wrapText="1"/>
      <protection hidden="1"/>
    </xf>
    <xf numFmtId="0" fontId="14" fillId="20" borderId="29"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4" fillId="20" borderId="29" xfId="0" applyFont="1" applyFill="1" applyBorder="1" applyAlignment="1" applyProtection="1">
      <alignment horizontal="center" vertical="center" wrapText="1"/>
      <protection locked="0"/>
    </xf>
    <xf numFmtId="0" fontId="11" fillId="16" borderId="7" xfId="2" applyFont="1" applyFill="1" applyBorder="1" applyAlignment="1" applyProtection="1">
      <alignment horizontal="center" vertical="center" wrapText="1"/>
      <protection hidden="1"/>
    </xf>
    <xf numFmtId="0" fontId="13" fillId="16" borderId="7" xfId="0" applyFont="1" applyFill="1" applyBorder="1" applyAlignment="1" applyProtection="1">
      <alignment horizontal="center" vertical="center"/>
      <protection hidden="1"/>
    </xf>
    <xf numFmtId="0" fontId="2" fillId="22" borderId="0" xfId="2" applyFill="1" applyAlignment="1" applyProtection="1">
      <alignment horizontal="left" indent="1"/>
      <protection hidden="1"/>
    </xf>
    <xf numFmtId="0" fontId="2" fillId="27" borderId="0" xfId="2" applyFill="1" applyBorder="1" applyAlignment="1" applyProtection="1">
      <alignment horizontal="left" wrapText="1"/>
      <protection hidden="1"/>
    </xf>
    <xf numFmtId="0" fontId="21" fillId="27" borderId="0" xfId="2" applyFont="1" applyFill="1" applyBorder="1" applyAlignment="1" applyProtection="1">
      <alignment horizontal="left" indent="5"/>
      <protection hidden="1"/>
    </xf>
    <xf numFmtId="0" fontId="20" fillId="27" borderId="0" xfId="2" applyFont="1" applyFill="1" applyBorder="1" applyAlignment="1" applyProtection="1">
      <alignment horizontal="left" indent="5"/>
      <protection hidden="1"/>
    </xf>
    <xf numFmtId="2" fontId="2" fillId="10" borderId="4" xfId="0" applyNumberFormat="1" applyFont="1" applyFill="1" applyBorder="1" applyAlignment="1" applyProtection="1">
      <alignment horizontal="center" vertical="center" wrapText="1"/>
      <protection hidden="1"/>
    </xf>
    <xf numFmtId="0" fontId="2" fillId="23" borderId="35" xfId="2" applyFill="1" applyBorder="1" applyProtection="1">
      <protection hidden="1"/>
    </xf>
    <xf numFmtId="0" fontId="2" fillId="23" borderId="30" xfId="2" applyFill="1" applyBorder="1" applyProtection="1">
      <protection hidden="1"/>
    </xf>
    <xf numFmtId="0" fontId="11" fillId="3" borderId="7" xfId="2" applyFont="1" applyFill="1" applyBorder="1" applyAlignment="1" applyProtection="1">
      <alignment horizontal="center" wrapText="1"/>
      <protection hidden="1"/>
    </xf>
    <xf numFmtId="0" fontId="0" fillId="2" borderId="0" xfId="0" applyFill="1" applyAlignment="1" applyProtection="1">
      <alignment horizontal="left" vertical="top"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1" fillId="2" borderId="0" xfId="2" applyFont="1" applyFill="1" applyAlignment="1" applyProtection="1">
      <alignment horizontal="left" vertical="center" indent="5"/>
      <protection hidden="1"/>
    </xf>
    <xf numFmtId="0" fontId="0" fillId="0" borderId="39" xfId="0" applyBorder="1" applyProtection="1">
      <protection hidden="1"/>
    </xf>
    <xf numFmtId="0" fontId="0" fillId="0" borderId="0" xfId="0" applyBorder="1" applyProtection="1">
      <protection hidden="1"/>
    </xf>
    <xf numFmtId="0" fontId="53" fillId="31" borderId="0" xfId="2" applyFont="1" applyFill="1" applyProtection="1">
      <protection hidden="1"/>
    </xf>
    <xf numFmtId="0" fontId="0" fillId="0" borderId="0" xfId="0" applyFont="1" applyProtection="1">
      <protection hidden="1"/>
    </xf>
    <xf numFmtId="0" fontId="0" fillId="11" borderId="57" xfId="0" applyFont="1" applyFill="1" applyBorder="1" applyProtection="1">
      <protection hidden="1"/>
    </xf>
    <xf numFmtId="0" fontId="49" fillId="11" borderId="0" xfId="0" applyFont="1" applyFill="1" applyProtection="1">
      <protection hidden="1"/>
    </xf>
    <xf numFmtId="0" fontId="20" fillId="2" borderId="0" xfId="2" applyFont="1" applyFill="1" applyBorder="1" applyAlignment="1" applyProtection="1">
      <alignment horizontal="left" vertical="center" indent="4"/>
      <protection hidden="1"/>
    </xf>
    <xf numFmtId="0" fontId="2" fillId="4" borderId="4" xfId="0" applyFont="1" applyFill="1" applyBorder="1" applyAlignment="1" applyProtection="1">
      <alignment horizontal="center" vertical="center" wrapText="1"/>
      <protection hidden="1"/>
    </xf>
    <xf numFmtId="0" fontId="2" fillId="20" borderId="4" xfId="4" applyNumberFormat="1" applyFont="1" applyFill="1" applyBorder="1" applyAlignment="1" applyProtection="1">
      <alignment horizontal="center" vertical="center"/>
      <protection locked="0"/>
    </xf>
    <xf numFmtId="0" fontId="2" fillId="24" borderId="0" xfId="2" applyFill="1" applyAlignment="1" applyProtection="1">
      <alignment horizontal="left" wrapText="1"/>
      <protection hidden="1"/>
    </xf>
    <xf numFmtId="0" fontId="2" fillId="4" borderId="4" xfId="0" applyFont="1" applyFill="1" applyBorder="1" applyAlignment="1" applyProtection="1">
      <alignment horizontal="left" vertical="center" wrapText="1"/>
      <protection hidden="1"/>
    </xf>
    <xf numFmtId="0" fontId="21" fillId="23" borderId="0" xfId="2" applyFont="1" applyFill="1" applyBorder="1" applyAlignment="1" applyProtection="1">
      <alignment horizontal="left" vertical="center" indent="5"/>
      <protection hidden="1"/>
    </xf>
    <xf numFmtId="0" fontId="157" fillId="23" borderId="0" xfId="2" applyFont="1" applyFill="1" applyProtection="1">
      <protection hidden="1"/>
    </xf>
    <xf numFmtId="0" fontId="20" fillId="2" borderId="0" xfId="2" applyFont="1" applyFill="1" applyBorder="1" applyAlignment="1" applyProtection="1">
      <alignment horizontal="left" indent="5"/>
      <protection hidden="1"/>
    </xf>
    <xf numFmtId="0" fontId="100" fillId="6" borderId="8" xfId="0" applyFont="1" applyFill="1" applyBorder="1" applyAlignment="1" applyProtection="1">
      <alignment horizontal="center" vertical="center" wrapText="1"/>
      <protection hidden="1"/>
    </xf>
    <xf numFmtId="2" fontId="65" fillId="15" borderId="4" xfId="0" applyNumberFormat="1" applyFont="1" applyFill="1" applyBorder="1" applyAlignment="1">
      <alignment horizontal="center" vertical="center" wrapText="1"/>
    </xf>
    <xf numFmtId="2" fontId="6" fillId="4" borderId="4" xfId="2" applyNumberFormat="1" applyFont="1" applyFill="1" applyBorder="1" applyAlignment="1" applyProtection="1">
      <alignment horizontal="center" vertical="center" wrapText="1"/>
      <protection hidden="1"/>
    </xf>
    <xf numFmtId="2" fontId="0" fillId="0" borderId="0" xfId="0" applyNumberFormat="1" applyProtection="1">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wrapText="1"/>
      <protection hidden="1"/>
    </xf>
    <xf numFmtId="166" fontId="14" fillId="20" borderId="10"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4" borderId="4" xfId="4" applyNumberFormat="1" applyFont="1" applyFill="1" applyBorder="1" applyAlignment="1" applyProtection="1">
      <alignment horizontal="center" vertical="center"/>
      <protection hidden="1"/>
    </xf>
    <xf numFmtId="0" fontId="13" fillId="17" borderId="8" xfId="4"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0" fontId="18" fillId="32" borderId="0" xfId="0" applyFont="1" applyFill="1"/>
    <xf numFmtId="0" fontId="159" fillId="11" borderId="0" xfId="0" applyFont="1" applyFill="1" applyAlignment="1" applyProtection="1">
      <protection hidden="1"/>
    </xf>
    <xf numFmtId="0" fontId="0" fillId="11" borderId="0" xfId="0" applyFill="1" applyAlignment="1" applyProtection="1">
      <alignment horizontal="left" indent="1"/>
      <protection hidden="1"/>
    </xf>
    <xf numFmtId="0" fontId="18" fillId="20" borderId="4" xfId="0" applyFont="1" applyFill="1" applyBorder="1" applyAlignment="1" applyProtection="1">
      <alignment horizontal="center" vertical="center" wrapText="1"/>
      <protection locked="0" hidden="1"/>
    </xf>
    <xf numFmtId="0" fontId="0" fillId="11" borderId="112" xfId="0" applyFill="1" applyBorder="1" applyProtection="1">
      <protection hidden="1"/>
    </xf>
    <xf numFmtId="0" fontId="2" fillId="24" borderId="0" xfId="2" applyFill="1" applyAlignment="1" applyProtection="1">
      <alignment horizontal="left" indent="5"/>
      <protection hidden="1"/>
    </xf>
    <xf numFmtId="0" fontId="44" fillId="16" borderId="0" xfId="0" applyFont="1" applyFill="1" applyAlignment="1">
      <alignment horizontal="center" vertical="center" wrapText="1"/>
    </xf>
    <xf numFmtId="0" fontId="20" fillId="11" borderId="0" xfId="2" applyFont="1" applyFill="1" applyBorder="1" applyAlignment="1">
      <alignment vertical="center"/>
    </xf>
    <xf numFmtId="0" fontId="20" fillId="11" borderId="0" xfId="2" applyFont="1" applyFill="1" applyAlignment="1">
      <alignment vertical="center"/>
    </xf>
    <xf numFmtId="0" fontId="11" fillId="16" borderId="4" xfId="0" applyFont="1" applyFill="1" applyBorder="1" applyAlignment="1" applyProtection="1">
      <alignment horizontal="center" vertical="center"/>
      <protection hidden="1"/>
    </xf>
    <xf numFmtId="0" fontId="11" fillId="16" borderId="4"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166" fontId="14" fillId="20" borderId="10" xfId="0" applyNumberFormat="1"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166" fontId="14" fillId="20" borderId="4" xfId="0" applyNumberFormat="1"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20" fillId="24" borderId="0" xfId="2" applyFont="1" applyFill="1" applyBorder="1" applyAlignment="1" applyProtection="1">
      <alignment horizontal="left" vertical="center" indent="5"/>
      <protection hidden="1"/>
    </xf>
    <xf numFmtId="165" fontId="21" fillId="20" borderId="4" xfId="4" applyNumberFormat="1" applyFont="1" applyFill="1" applyBorder="1" applyAlignment="1" applyProtection="1">
      <alignment horizontal="center" vertical="center"/>
      <protection locked="0"/>
    </xf>
    <xf numFmtId="0" fontId="0" fillId="0" borderId="0" xfId="0" applyAlignment="1" applyProtection="1">
      <alignment wrapText="1"/>
      <protection hidden="1"/>
    </xf>
    <xf numFmtId="0" fontId="2" fillId="4" borderId="4" xfId="4" applyNumberFormat="1" applyFont="1" applyFill="1" applyBorder="1" applyAlignment="1" applyProtection="1">
      <alignment horizontal="center" vertical="center" wrapText="1"/>
      <protection hidden="1"/>
    </xf>
    <xf numFmtId="0" fontId="75" fillId="30" borderId="4" xfId="0" applyFont="1" applyFill="1" applyBorder="1" applyAlignment="1">
      <alignment vertical="center" wrapText="1"/>
    </xf>
    <xf numFmtId="0" fontId="2" fillId="20" borderId="4" xfId="4" applyNumberFormat="1" applyFont="1" applyFill="1" applyBorder="1" applyAlignment="1" applyProtection="1">
      <alignment horizontal="center" vertical="center" wrapText="1"/>
      <protection locked="0"/>
    </xf>
    <xf numFmtId="0" fontId="7" fillId="2" borderId="0" xfId="2" applyFont="1" applyFill="1" applyProtection="1">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35" fillId="16" borderId="0" xfId="0" applyFont="1" applyFill="1" applyBorder="1" applyAlignment="1" applyProtection="1">
      <alignment horizontal="left" vertical="center" indent="1"/>
      <protection hidden="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75" fillId="15" borderId="4" xfId="0" applyFont="1" applyFill="1" applyBorder="1" applyAlignment="1">
      <alignment horizontal="center" vertical="center" wrapText="1"/>
    </xf>
    <xf numFmtId="0" fontId="13" fillId="16" borderId="7" xfId="0" applyFont="1" applyFill="1" applyBorder="1" applyAlignment="1" applyProtection="1">
      <alignment horizontal="center" vertical="center"/>
      <protection hidden="1"/>
    </xf>
    <xf numFmtId="0" fontId="2" fillId="22" borderId="0" xfId="2" applyFill="1" applyAlignment="1" applyProtection="1">
      <alignment horizontal="left" wrapText="1"/>
      <protection hidden="1"/>
    </xf>
    <xf numFmtId="0" fontId="13" fillId="17" borderId="7" xfId="4" applyFont="1" applyFill="1" applyBorder="1" applyAlignment="1" applyProtection="1">
      <alignment horizontal="center" vertical="center" wrapText="1"/>
      <protection hidden="1"/>
    </xf>
    <xf numFmtId="0" fontId="2" fillId="4" borderId="4" xfId="0" applyFont="1" applyFill="1" applyBorder="1" applyAlignment="1" applyProtection="1">
      <alignment horizontal="left" vertical="center" wrapText="1"/>
      <protection hidden="1"/>
    </xf>
    <xf numFmtId="0" fontId="2" fillId="10" borderId="36" xfId="2" applyFill="1" applyBorder="1" applyAlignment="1" applyProtection="1">
      <alignment horizontal="left" indent="6"/>
      <protection hidden="1"/>
    </xf>
    <xf numFmtId="0" fontId="2" fillId="10" borderId="39" xfId="2" applyFill="1" applyBorder="1" applyAlignment="1" applyProtection="1">
      <alignment horizontal="left" indent="7"/>
      <protection hidden="1"/>
    </xf>
    <xf numFmtId="0" fontId="2" fillId="10" borderId="22" xfId="2" applyFill="1" applyBorder="1" applyAlignment="1" applyProtection="1">
      <alignment horizontal="left" indent="7"/>
      <protection hidden="1"/>
    </xf>
    <xf numFmtId="0" fontId="21" fillId="2" borderId="23" xfId="2" applyFont="1" applyFill="1" applyBorder="1" applyAlignment="1" applyProtection="1">
      <alignment vertical="center"/>
      <protection hidden="1"/>
    </xf>
    <xf numFmtId="0" fontId="2" fillId="27" borderId="35" xfId="2" applyFill="1" applyBorder="1" applyProtection="1">
      <protection hidden="1"/>
    </xf>
    <xf numFmtId="0" fontId="21" fillId="10" borderId="36" xfId="2" applyFont="1" applyFill="1" applyBorder="1" applyAlignment="1" applyProtection="1">
      <alignment horizontal="left" indent="6"/>
      <protection hidden="1"/>
    </xf>
    <xf numFmtId="0" fontId="20" fillId="22"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indent="1"/>
      <protection hidden="1"/>
    </xf>
    <xf numFmtId="0" fontId="2" fillId="4" borderId="4" xfId="0" applyFont="1" applyFill="1" applyBorder="1" applyAlignment="1" applyProtection="1">
      <alignment horizontal="left" vertical="center" wrapText="1"/>
      <protection hidden="1"/>
    </xf>
    <xf numFmtId="0" fontId="13" fillId="5" borderId="7" xfId="0" applyFont="1" applyFill="1" applyBorder="1" applyAlignment="1" applyProtection="1">
      <alignment horizontal="center" vertical="center"/>
      <protection hidden="1"/>
    </xf>
    <xf numFmtId="165" fontId="2" fillId="20" borderId="4" xfId="4" applyNumberFormat="1" applyFont="1" applyFill="1" applyBorder="1" applyAlignment="1" applyProtection="1">
      <alignment horizontal="center" vertical="center"/>
      <protection locked="0"/>
    </xf>
    <xf numFmtId="0" fontId="44" fillId="16" borderId="10" xfId="0" applyFont="1" applyFill="1" applyBorder="1" applyAlignment="1">
      <alignment horizontal="center" vertical="center" wrapText="1"/>
    </xf>
    <xf numFmtId="0" fontId="6" fillId="9" borderId="34" xfId="2" applyFont="1" applyFill="1" applyBorder="1" applyAlignment="1" applyProtection="1">
      <alignment horizontal="center" vertical="center" wrapText="1"/>
      <protection hidden="1"/>
    </xf>
    <xf numFmtId="165" fontId="2" fillId="10" borderId="4" xfId="4" applyNumberFormat="1" applyFont="1" applyFill="1" applyBorder="1" applyAlignment="1" applyProtection="1">
      <alignment horizontal="center" vertical="center"/>
      <protection hidden="1"/>
    </xf>
    <xf numFmtId="0" fontId="2" fillId="22" borderId="0" xfId="2" applyFill="1" applyAlignment="1" applyProtection="1">
      <alignment horizontal="left" indent="5"/>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3" fillId="6" borderId="7"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2" fillId="24" borderId="0" xfId="2" applyFill="1" applyAlignment="1" applyProtection="1">
      <alignment horizontal="left" vertical="center" indent="5"/>
      <protection hidden="1"/>
    </xf>
    <xf numFmtId="0" fontId="2" fillId="4" borderId="4" xfId="0" applyFont="1" applyFill="1" applyBorder="1" applyAlignment="1" applyProtection="1">
      <alignment horizontal="left" vertical="center" wrapText="1"/>
      <protection hidden="1"/>
    </xf>
    <xf numFmtId="0" fontId="2" fillId="2" borderId="0" xfId="2" applyFill="1" applyBorder="1" applyAlignment="1" applyProtection="1">
      <alignment horizontal="left" wrapTex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vertical="top" wrapText="1" indent="2"/>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1" fontId="14" fillId="20" borderId="4" xfId="0" quotePrefix="1"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71" fillId="10" borderId="36" xfId="0" applyFont="1" applyFill="1" applyBorder="1" applyProtection="1">
      <protection hidden="1"/>
    </xf>
    <xf numFmtId="0" fontId="117" fillId="10" borderId="37" xfId="0" applyFont="1" applyFill="1" applyBorder="1" applyAlignment="1" applyProtection="1">
      <alignment vertical="center"/>
      <protection hidden="1"/>
    </xf>
    <xf numFmtId="0" fontId="116" fillId="10" borderId="37" xfId="0" applyFont="1" applyFill="1" applyBorder="1" applyProtection="1">
      <protection hidden="1"/>
    </xf>
    <xf numFmtId="0" fontId="71" fillId="10" borderId="37" xfId="0" applyFont="1" applyFill="1" applyBorder="1" applyProtection="1">
      <protection hidden="1"/>
    </xf>
    <xf numFmtId="0" fontId="71" fillId="10" borderId="38" xfId="0" applyFont="1" applyFill="1" applyBorder="1" applyProtection="1">
      <protection hidden="1"/>
    </xf>
    <xf numFmtId="0" fontId="118" fillId="10" borderId="39" xfId="0" applyFont="1" applyFill="1" applyBorder="1" applyAlignment="1" applyProtection="1">
      <alignment vertical="center" wrapText="1"/>
      <protection hidden="1"/>
    </xf>
    <xf numFmtId="0" fontId="117" fillId="10" borderId="0" xfId="0" applyFont="1" applyFill="1" applyBorder="1" applyAlignment="1" applyProtection="1">
      <alignment vertical="center"/>
      <protection hidden="1"/>
    </xf>
    <xf numFmtId="0" fontId="118" fillId="10" borderId="0" xfId="0" applyFont="1" applyFill="1" applyBorder="1" applyAlignment="1" applyProtection="1">
      <alignment vertical="center" wrapText="1"/>
      <protection hidden="1"/>
    </xf>
    <xf numFmtId="0" fontId="71" fillId="10" borderId="0" xfId="0" applyFont="1" applyFill="1" applyBorder="1" applyAlignment="1" applyProtection="1">
      <alignment vertical="center" wrapText="1"/>
      <protection hidden="1"/>
    </xf>
    <xf numFmtId="0" fontId="71" fillId="10" borderId="0" xfId="0" applyFont="1" applyFill="1" applyBorder="1" applyProtection="1">
      <protection hidden="1"/>
    </xf>
    <xf numFmtId="0" fontId="71" fillId="10" borderId="40" xfId="0" applyFont="1" applyFill="1" applyBorder="1" applyAlignment="1" applyProtection="1">
      <alignment vertical="center" wrapText="1"/>
      <protection hidden="1"/>
    </xf>
    <xf numFmtId="0" fontId="71" fillId="10" borderId="22" xfId="0" applyFont="1" applyFill="1" applyBorder="1" applyProtection="1">
      <protection hidden="1"/>
    </xf>
    <xf numFmtId="0" fontId="117" fillId="10" borderId="23" xfId="0" applyFont="1" applyFill="1" applyBorder="1" applyAlignment="1" applyProtection="1">
      <alignment vertical="center"/>
      <protection hidden="1"/>
    </xf>
    <xf numFmtId="0" fontId="71" fillId="10" borderId="23" xfId="0" applyFont="1" applyFill="1" applyBorder="1" applyAlignment="1" applyProtection="1">
      <alignment vertical="center" wrapText="1"/>
      <protection hidden="1"/>
    </xf>
    <xf numFmtId="0" fontId="71" fillId="10" borderId="23" xfId="0" applyFont="1" applyFill="1" applyBorder="1" applyProtection="1">
      <protection hidden="1"/>
    </xf>
    <xf numFmtId="0" fontId="71" fillId="10" borderId="24" xfId="0" applyFont="1" applyFill="1" applyBorder="1" applyAlignment="1" applyProtection="1">
      <alignment vertical="center" wrapText="1"/>
      <protection hidden="1"/>
    </xf>
    <xf numFmtId="0" fontId="72" fillId="10" borderId="36" xfId="0" applyFont="1" applyFill="1" applyBorder="1" applyAlignment="1" applyProtection="1">
      <alignment vertical="center" wrapText="1"/>
      <protection hidden="1"/>
    </xf>
    <xf numFmtId="0" fontId="72" fillId="10" borderId="37" xfId="0" applyFont="1" applyFill="1" applyBorder="1" applyAlignment="1" applyProtection="1">
      <alignment vertical="center" wrapText="1"/>
      <protection hidden="1"/>
    </xf>
    <xf numFmtId="0" fontId="72" fillId="10" borderId="38" xfId="0" applyFont="1" applyFill="1" applyBorder="1" applyAlignment="1" applyProtection="1">
      <alignment vertical="center" wrapText="1"/>
      <protection hidden="1"/>
    </xf>
    <xf numFmtId="0" fontId="72" fillId="10" borderId="22" xfId="0" applyFont="1" applyFill="1" applyBorder="1" applyAlignment="1" applyProtection="1">
      <alignment vertical="center"/>
      <protection hidden="1"/>
    </xf>
    <xf numFmtId="0" fontId="72" fillId="10" borderId="23" xfId="0" applyFont="1" applyFill="1" applyBorder="1" applyAlignment="1" applyProtection="1">
      <alignment vertical="center" wrapText="1"/>
      <protection hidden="1"/>
    </xf>
    <xf numFmtId="0" fontId="72" fillId="10" borderId="24" xfId="0" applyFont="1" applyFill="1" applyBorder="1" applyAlignment="1" applyProtection="1">
      <alignment vertical="center" wrapText="1"/>
      <protection hidden="1"/>
    </xf>
    <xf numFmtId="0" fontId="112" fillId="2" borderId="0" xfId="0" applyFont="1" applyFill="1" applyProtection="1">
      <protection hidden="1"/>
    </xf>
    <xf numFmtId="0" fontId="71" fillId="2" borderId="0" xfId="0" applyFont="1" applyFill="1" applyAlignment="1" applyProtection="1">
      <alignment vertical="center"/>
      <protection hidden="1"/>
    </xf>
    <xf numFmtId="0" fontId="113" fillId="2" borderId="0" xfId="0" applyFont="1" applyFill="1" applyProtection="1">
      <protection hidden="1"/>
    </xf>
    <xf numFmtId="0" fontId="5" fillId="6" borderId="0" xfId="2" applyFont="1" applyFill="1" applyBorder="1" applyAlignment="1" applyProtection="1">
      <alignment vertical="center" wrapText="1"/>
      <protection hidden="1"/>
    </xf>
    <xf numFmtId="0" fontId="22"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13" fillId="6" borderId="0" xfId="0" applyFont="1" applyFill="1" applyBorder="1" applyAlignment="1" applyProtection="1">
      <alignment horizontal="center" vertical="center" wrapText="1"/>
      <protection hidden="1"/>
    </xf>
    <xf numFmtId="0" fontId="21" fillId="2" borderId="0" xfId="2" applyFont="1" applyFill="1" applyAlignment="1" applyProtection="1">
      <alignment horizontal="left" vertical="center" indent="6"/>
      <protection hidden="1"/>
    </xf>
    <xf numFmtId="0" fontId="2" fillId="2" borderId="0" xfId="2" applyFill="1" applyBorder="1" applyAlignment="1" applyProtection="1">
      <alignment horizontal="left" wrapText="1"/>
      <protection hidden="1"/>
    </xf>
    <xf numFmtId="0" fontId="13" fillId="6" borderId="10" xfId="0" applyFont="1" applyFill="1" applyBorder="1" applyAlignment="1" applyProtection="1">
      <alignment horizontal="center" vertical="center"/>
      <protection hidden="1"/>
    </xf>
    <xf numFmtId="0" fontId="2" fillId="10" borderId="22" xfId="2" applyFill="1" applyBorder="1" applyAlignment="1" applyProtection="1">
      <alignment horizontal="left" indent="6"/>
      <protection hidden="1"/>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0" fontId="165" fillId="22" borderId="0" xfId="2" applyFont="1" applyFill="1" applyProtection="1">
      <protection hidden="1"/>
    </xf>
    <xf numFmtId="2" fontId="6" fillId="9" borderId="4" xfId="6" applyNumberFormat="1" applyFont="1" applyFill="1" applyBorder="1" applyAlignment="1" applyProtection="1">
      <protection hidden="1"/>
    </xf>
    <xf numFmtId="0" fontId="2" fillId="22" borderId="0" xfId="2" applyFill="1" applyBorder="1" applyAlignment="1" applyProtection="1">
      <alignment horizontal="left" indent="5"/>
      <protection hidden="1"/>
    </xf>
    <xf numFmtId="0" fontId="14" fillId="15" borderId="28" xfId="0" applyFont="1" applyFill="1" applyBorder="1" applyAlignment="1">
      <alignment horizontal="left" vertical="center" wrapText="1"/>
    </xf>
    <xf numFmtId="0" fontId="14" fillId="15" borderId="28" xfId="0" applyFont="1" applyFill="1" applyBorder="1" applyAlignment="1">
      <alignment horizontal="center" vertical="center" wrapText="1"/>
    </xf>
    <xf numFmtId="0" fontId="75" fillId="15" borderId="4" xfId="0" applyFont="1" applyFill="1" applyBorder="1" applyAlignment="1">
      <alignment vertical="center" wrapText="1"/>
    </xf>
    <xf numFmtId="0" fontId="2" fillId="10" borderId="4" xfId="0" applyNumberFormat="1" applyFont="1" applyFill="1" applyBorder="1" applyAlignment="1" applyProtection="1">
      <alignment horizontal="center" vertical="center" wrapText="1"/>
      <protection hidden="1"/>
    </xf>
    <xf numFmtId="0" fontId="134" fillId="11" borderId="0" xfId="0" applyFont="1" applyFill="1" applyBorder="1" applyAlignment="1" applyProtection="1">
      <alignment vertical="center"/>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wrapText="1"/>
      <protection hidden="1"/>
    </xf>
    <xf numFmtId="166" fontId="14" fillId="20" borderId="28" xfId="0" applyNumberFormat="1" applyFont="1" applyFill="1" applyBorder="1" applyAlignment="1" applyProtection="1">
      <alignment horizontal="center" vertical="center" wrapText="1"/>
      <protection locked="0"/>
    </xf>
    <xf numFmtId="0" fontId="13" fillId="5" borderId="7" xfId="0" applyFont="1" applyFill="1" applyBorder="1" applyAlignment="1" applyProtection="1">
      <alignment horizontal="center" vertical="center"/>
      <protection hidden="1"/>
    </xf>
    <xf numFmtId="0" fontId="2" fillId="2" borderId="31" xfId="2" applyFill="1" applyBorder="1" applyProtection="1">
      <protection hidden="1"/>
    </xf>
    <xf numFmtId="0" fontId="11" fillId="6" borderId="30" xfId="0" applyFont="1" applyFill="1" applyBorder="1" applyAlignment="1">
      <alignment vertical="center" wrapText="1"/>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1" fillId="2" borderId="0" xfId="2" applyFont="1" applyFill="1" applyAlignment="1" applyProtection="1">
      <alignment horizontal="left" vertical="center" indent="5"/>
      <protection hidden="1"/>
    </xf>
    <xf numFmtId="0" fontId="24" fillId="2" borderId="0" xfId="3" applyFill="1" applyBorder="1" applyAlignment="1" applyProtection="1">
      <alignment horizontal="left"/>
      <protection hidden="1"/>
    </xf>
    <xf numFmtId="0" fontId="14" fillId="20" borderId="4" xfId="0" applyFont="1" applyFill="1" applyBorder="1" applyAlignment="1" applyProtection="1">
      <alignment horizontal="center" vertical="center" wrapText="1"/>
      <protection locked="0"/>
    </xf>
    <xf numFmtId="0" fontId="2" fillId="12" borderId="0" xfId="2" applyFill="1" applyBorder="1" applyAlignment="1" applyProtection="1">
      <alignment wrapText="1"/>
      <protection hidden="1"/>
    </xf>
    <xf numFmtId="166" fontId="14" fillId="20" borderId="10" xfId="0" applyNumberFormat="1" applyFont="1" applyFill="1" applyBorder="1" applyAlignment="1" applyProtection="1">
      <alignment horizontal="center" vertical="center" wrapText="1"/>
      <protection locked="0"/>
    </xf>
    <xf numFmtId="166" fontId="14" fillId="4" borderId="4" xfId="0" applyNumberFormat="1"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10" borderId="40" xfId="2" applyFill="1" applyBorder="1" applyAlignment="1" applyProtection="1">
      <alignment horizontal="left" indent="8"/>
      <protection hidden="1"/>
    </xf>
    <xf numFmtId="0" fontId="2" fillId="10" borderId="24" xfId="2" applyFill="1" applyBorder="1" applyAlignment="1" applyProtection="1">
      <alignment horizontal="left" indent="8"/>
      <protection hidden="1"/>
    </xf>
    <xf numFmtId="0" fontId="2" fillId="20" borderId="4" xfId="4" applyNumberFormat="1"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indent="5"/>
      <protection hidden="1"/>
    </xf>
    <xf numFmtId="0" fontId="2" fillId="10" borderId="0" xfId="2" applyFill="1" applyBorder="1" applyAlignment="1" applyProtection="1">
      <alignment horizontal="left" indent="5"/>
      <protection hidden="1"/>
    </xf>
    <xf numFmtId="0" fontId="21" fillId="10" borderId="37" xfId="2" applyFont="1" applyFill="1" applyBorder="1" applyAlignment="1" applyProtection="1">
      <alignment horizontal="left" indent="5"/>
      <protection hidden="1"/>
    </xf>
    <xf numFmtId="0" fontId="21" fillId="10" borderId="38" xfId="2" applyFont="1" applyFill="1" applyBorder="1" applyAlignment="1" applyProtection="1">
      <alignment horizontal="left" indent="5"/>
      <protection hidden="1"/>
    </xf>
    <xf numFmtId="0" fontId="2" fillId="10" borderId="40" xfId="2" applyFill="1" applyBorder="1" applyAlignment="1" applyProtection="1">
      <alignment horizontal="left" indent="5"/>
      <protection hidden="1"/>
    </xf>
    <xf numFmtId="0" fontId="2" fillId="10" borderId="23" xfId="2" applyFill="1" applyBorder="1" applyAlignment="1" applyProtection="1">
      <alignment horizontal="left" indent="5"/>
      <protection hidden="1"/>
    </xf>
    <xf numFmtId="0" fontId="2" fillId="10" borderId="24" xfId="2" applyFill="1" applyBorder="1" applyAlignment="1" applyProtection="1">
      <alignment horizontal="left" indent="5"/>
      <protection hidden="1"/>
    </xf>
    <xf numFmtId="0" fontId="21" fillId="10" borderId="39" xfId="2" applyFont="1" applyFill="1" applyBorder="1" applyAlignment="1" applyProtection="1">
      <alignment horizontal="left" indent="6"/>
      <protection hidden="1"/>
    </xf>
    <xf numFmtId="166" fontId="14" fillId="20" borderId="10"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2" borderId="0" xfId="2" applyFont="1" applyFill="1" applyBorder="1" applyAlignment="1" applyProtection="1">
      <alignment horizontal="left" vertical="center" wrapText="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2" borderId="0" xfId="2" applyFill="1" applyAlignment="1" applyProtection="1">
      <alignment horizontal="left" vertical="center" indent="5"/>
      <protection hidden="1"/>
    </xf>
    <xf numFmtId="2" fontId="14" fillId="20" borderId="4" xfId="0" applyNumberFormat="1" applyFont="1" applyFill="1" applyBorder="1" applyAlignment="1" applyProtection="1">
      <alignment horizontal="center" vertical="center" wrapText="1"/>
      <protection locked="0"/>
    </xf>
    <xf numFmtId="0" fontId="65" fillId="2" borderId="0" xfId="0" applyFont="1" applyFill="1" applyAlignment="1">
      <alignment vertical="center" wrapText="1"/>
    </xf>
    <xf numFmtId="0" fontId="0" fillId="2" borderId="0" xfId="0" applyFill="1" applyAlignment="1" applyProtection="1">
      <alignment horizontal="left" vertical="top" wrapText="1" indent="1"/>
      <protection hidden="1"/>
    </xf>
    <xf numFmtId="0" fontId="0" fillId="2" borderId="0" xfId="0" applyFont="1" applyFill="1" applyAlignment="1" applyProtection="1">
      <alignment horizontal="left" indent="1"/>
      <protection hidden="1"/>
    </xf>
    <xf numFmtId="0" fontId="14" fillId="20" borderId="4"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protection hidden="1"/>
    </xf>
    <xf numFmtId="0" fontId="20" fillId="2" borderId="0" xfId="0" applyFont="1" applyFill="1" applyBorder="1" applyAlignment="1" applyProtection="1">
      <alignment horizontal="left" vertical="center" wrapText="1"/>
      <protection hidden="1"/>
    </xf>
    <xf numFmtId="0" fontId="21" fillId="2" borderId="0" xfId="2" applyFont="1" applyFill="1" applyBorder="1" applyAlignment="1" applyProtection="1">
      <alignment horizontal="left" indent="5"/>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6" fontId="14" fillId="4" borderId="4" xfId="0" applyNumberFormat="1"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35" fillId="21" borderId="0" xfId="0" applyFont="1" applyFill="1" applyBorder="1" applyAlignment="1" applyProtection="1">
      <alignment horizontal="left" vertical="center" indent="1"/>
      <protection hidden="1"/>
    </xf>
    <xf numFmtId="0" fontId="13" fillId="21" borderId="8" xfId="0" applyFont="1" applyFill="1" applyBorder="1" applyAlignment="1" applyProtection="1">
      <alignment horizontal="center" vertical="center" wrapText="1"/>
      <protection hidden="1"/>
    </xf>
    <xf numFmtId="0" fontId="14" fillId="20" borderId="32"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wrapText="1"/>
      <protection hidden="1"/>
    </xf>
    <xf numFmtId="0" fontId="13" fillId="21" borderId="10" xfId="0" applyFont="1" applyFill="1" applyBorder="1" applyAlignment="1" applyProtection="1">
      <alignment horizontal="center" vertical="center"/>
      <protection hidden="1"/>
    </xf>
    <xf numFmtId="0" fontId="14" fillId="20" borderId="28" xfId="0" applyFont="1" applyFill="1" applyBorder="1" applyAlignment="1" applyProtection="1">
      <alignment horizontal="center" vertical="center" wrapText="1"/>
      <protection locked="0"/>
    </xf>
    <xf numFmtId="0" fontId="8" fillId="20" borderId="2" xfId="2" applyFont="1" applyFill="1" applyBorder="1" applyAlignment="1" applyProtection="1">
      <alignment horizontal="center" vertical="center"/>
      <protection locked="0"/>
    </xf>
    <xf numFmtId="0" fontId="21" fillId="2" borderId="0" xfId="2" applyFont="1" applyFill="1" applyBorder="1" applyAlignment="1" applyProtection="1">
      <alignment horizontal="left" indent="5"/>
      <protection hidden="1"/>
    </xf>
    <xf numFmtId="0" fontId="21" fillId="11" borderId="5" xfId="2" applyFont="1" applyFill="1" applyBorder="1" applyAlignment="1" applyProtection="1">
      <alignment horizontal="center" vertical="center"/>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7" xfId="0" applyFont="1" applyFill="1" applyBorder="1" applyAlignment="1" applyProtection="1">
      <alignment horizontal="center" vertical="center" wrapText="1"/>
      <protection hidden="1"/>
    </xf>
    <xf numFmtId="0" fontId="13" fillId="21" borderId="10" xfId="0" applyFont="1" applyFill="1" applyBorder="1" applyAlignment="1" applyProtection="1">
      <alignment horizontal="center" vertical="center" wrapText="1"/>
      <protection hidden="1"/>
    </xf>
    <xf numFmtId="0" fontId="14" fillId="20" borderId="32"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9" fillId="21" borderId="37" xfId="2" applyFont="1" applyFill="1" applyBorder="1" applyAlignment="1" applyProtection="1">
      <alignment horizontal="center" vertical="center" wrapText="1"/>
      <protection hidden="1"/>
    </xf>
    <xf numFmtId="0" fontId="19" fillId="21" borderId="38" xfId="2" applyFont="1" applyFill="1" applyBorder="1" applyAlignment="1" applyProtection="1">
      <alignment horizontal="center" vertical="center" wrapText="1"/>
      <protection hidden="1"/>
    </xf>
    <xf numFmtId="0" fontId="21" fillId="10" borderId="5" xfId="2" applyFont="1" applyFill="1" applyBorder="1" applyAlignment="1" applyProtection="1">
      <alignment horizontal="center" vertical="center"/>
      <protection hidden="1"/>
    </xf>
    <xf numFmtId="0" fontId="21" fillId="22" borderId="0" xfId="2" applyFont="1" applyFill="1" applyAlignment="1" applyProtection="1">
      <alignment horizontal="left" vertical="center" indent="5"/>
      <protection hidden="1"/>
    </xf>
    <xf numFmtId="0" fontId="2" fillId="22" borderId="0" xfId="2" applyFill="1" applyBorder="1" applyAlignment="1"/>
    <xf numFmtId="0" fontId="20" fillId="22" borderId="0" xfId="2" applyFont="1" applyFill="1" applyBorder="1" applyAlignment="1">
      <alignment horizontal="left" indent="5"/>
    </xf>
    <xf numFmtId="0" fontId="21" fillId="22" borderId="0" xfId="2" applyFont="1" applyFill="1" applyBorder="1"/>
    <xf numFmtId="2" fontId="14" fillId="10" borderId="4" xfId="0" applyNumberFormat="1" applyFont="1" applyFill="1" applyBorder="1" applyAlignment="1">
      <alignment horizontal="center" vertical="center" wrapText="1"/>
    </xf>
    <xf numFmtId="0" fontId="21" fillId="23" borderId="0" xfId="0" applyFont="1" applyFill="1" applyAlignment="1">
      <alignment horizontal="left" vertical="center" indent="6"/>
    </xf>
    <xf numFmtId="0" fontId="2" fillId="23" borderId="0" xfId="0" applyFont="1" applyFill="1" applyAlignment="1">
      <alignment horizontal="left" vertical="center" indent="6"/>
    </xf>
    <xf numFmtId="0" fontId="20" fillId="22" borderId="0" xfId="2" applyFont="1" applyFill="1" applyBorder="1" applyAlignment="1" applyProtection="1">
      <alignment horizontal="left" vertical="center" indent="6"/>
      <protection hidden="1"/>
    </xf>
    <xf numFmtId="0" fontId="21" fillId="22" borderId="0" xfId="2" applyFont="1" applyFill="1" applyBorder="1" applyAlignment="1">
      <alignment horizontal="right"/>
    </xf>
    <xf numFmtId="0" fontId="21" fillId="22" borderId="0" xfId="2" applyFont="1" applyFill="1" applyAlignment="1" applyProtection="1">
      <alignment horizontal="left" indent="4"/>
      <protection hidden="1"/>
    </xf>
    <xf numFmtId="0" fontId="2" fillId="23" borderId="0" xfId="2" applyFill="1" applyAlignment="1" applyProtection="1">
      <alignment horizontal="left"/>
      <protection hidden="1"/>
    </xf>
    <xf numFmtId="0" fontId="21" fillId="23" borderId="0" xfId="0" applyFont="1" applyFill="1" applyBorder="1" applyAlignment="1" applyProtection="1">
      <alignment horizontal="left" vertical="center" indent="5"/>
      <protection hidden="1"/>
    </xf>
    <xf numFmtId="0" fontId="2" fillId="23" borderId="0" xfId="2" applyFill="1" applyAlignment="1" applyProtection="1">
      <protection hidden="1"/>
    </xf>
    <xf numFmtId="0" fontId="21" fillId="10" borderId="24"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hidden="1"/>
    </xf>
    <xf numFmtId="0" fontId="14" fillId="20" borderId="28" xfId="0" applyFont="1" applyFill="1" applyBorder="1" applyAlignment="1" applyProtection="1">
      <alignment horizontal="center" vertical="center" wrapText="1"/>
      <protection locked="0" hidden="1"/>
    </xf>
    <xf numFmtId="0" fontId="8" fillId="9" borderId="4" xfId="1" applyNumberFormat="1" applyFont="1" applyFill="1" applyBorder="1" applyAlignment="1" applyProtection="1">
      <alignment horizontal="center" vertical="center" wrapText="1"/>
      <protection hidden="1"/>
    </xf>
    <xf numFmtId="0" fontId="14" fillId="20" borderId="0" xfId="0" applyFont="1" applyFill="1" applyBorder="1" applyAlignment="1" applyProtection="1">
      <alignment horizontal="center" vertical="center" wrapText="1"/>
      <protection locked="0" hidden="1"/>
    </xf>
    <xf numFmtId="0" fontId="6" fillId="9" borderId="4" xfId="2" applyNumberFormat="1" applyFont="1" applyFill="1" applyBorder="1" applyAlignment="1" applyProtection="1">
      <alignment horizontal="center" vertical="center" wrapText="1"/>
      <protection hidden="1"/>
    </xf>
    <xf numFmtId="0" fontId="6" fillId="2" borderId="0" xfId="2" quotePrefix="1" applyFont="1" applyFill="1" applyAlignment="1" applyProtection="1">
      <alignment vertical="center"/>
      <protection hidden="1"/>
    </xf>
    <xf numFmtId="0" fontId="21" fillId="2" borderId="0" xfId="2" quotePrefix="1" applyFont="1" applyFill="1" applyAlignment="1" applyProtection="1">
      <alignment vertical="center"/>
      <protection hidden="1"/>
    </xf>
    <xf numFmtId="0" fontId="20" fillId="2" borderId="0" xfId="0" applyFont="1" applyFill="1" applyBorder="1" applyAlignment="1" applyProtection="1">
      <alignment vertical="center" wrapText="1"/>
      <protection hidden="1"/>
    </xf>
    <xf numFmtId="0" fontId="14" fillId="15" borderId="4" xfId="0" applyFont="1" applyFill="1" applyBorder="1" applyAlignment="1" applyProtection="1">
      <alignment horizontal="center" vertical="center" wrapText="1"/>
      <protection hidden="1"/>
    </xf>
    <xf numFmtId="0" fontId="14" fillId="4" borderId="28" xfId="0" applyFont="1" applyFill="1" applyBorder="1" applyAlignment="1" applyProtection="1">
      <alignment horizontal="center" vertical="center"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indent="1"/>
      <protection hidden="1"/>
    </xf>
    <xf numFmtId="0" fontId="22" fillId="14" borderId="40" xfId="2" applyFont="1" applyFill="1" applyBorder="1" applyAlignment="1" applyProtection="1">
      <alignment horizontal="center" vertical="center" wrapText="1"/>
      <protection hidden="1"/>
    </xf>
    <xf numFmtId="0" fontId="22" fillId="14" borderId="0" xfId="2" applyFont="1" applyFill="1" applyBorder="1" applyAlignment="1" applyProtection="1">
      <alignment horizontal="left" vertical="center" wrapText="1"/>
      <protection hidden="1"/>
    </xf>
    <xf numFmtId="0" fontId="27" fillId="14" borderId="0" xfId="2" applyFont="1" applyFill="1" applyBorder="1" applyAlignment="1" applyProtection="1">
      <alignment horizontal="center" vertical="center" wrapText="1"/>
      <protection hidden="1"/>
    </xf>
    <xf numFmtId="0" fontId="27" fillId="14" borderId="23" xfId="2" applyFont="1" applyFill="1" applyBorder="1" applyAlignment="1" applyProtection="1">
      <alignment horizontal="center" vertical="center" wrapText="1"/>
      <protection hidden="1"/>
    </xf>
    <xf numFmtId="0" fontId="26" fillId="21" borderId="37" xfId="0" applyFont="1" applyFill="1" applyBorder="1" applyAlignment="1" applyProtection="1">
      <alignment horizontal="center" vertical="center" wrapText="1"/>
      <protection hidden="1"/>
    </xf>
    <xf numFmtId="0" fontId="26" fillId="21" borderId="38" xfId="0" applyFont="1" applyFill="1" applyBorder="1" applyAlignment="1" applyProtection="1">
      <alignment horizontal="center" vertical="center" wrapText="1"/>
      <protection hidden="1"/>
    </xf>
    <xf numFmtId="0" fontId="22" fillId="14" borderId="39" xfId="2"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3" fillId="17" borderId="8" xfId="4" applyFont="1" applyFill="1" applyBorder="1" applyAlignment="1" applyProtection="1">
      <alignment horizontal="center" vertical="center" wrapText="1"/>
      <protection hidden="1"/>
    </xf>
    <xf numFmtId="0" fontId="2" fillId="4" borderId="4" xfId="4" applyNumberFormat="1" applyFont="1" applyFill="1" applyBorder="1" applyAlignment="1" applyProtection="1">
      <alignment horizontal="center" vertical="center"/>
      <protection hidden="1"/>
    </xf>
    <xf numFmtId="0" fontId="13" fillId="17" borderId="7" xfId="4" applyFont="1" applyFill="1" applyBorder="1" applyAlignment="1" applyProtection="1">
      <alignment horizontal="center" vertical="center" wrapText="1"/>
      <protection hidden="1"/>
    </xf>
    <xf numFmtId="0" fontId="2" fillId="20" borderId="28" xfId="4" applyNumberFormat="1" applyFont="1" applyFill="1" applyBorder="1" applyAlignment="1" applyProtection="1">
      <alignment horizontal="center"/>
      <protection locked="0"/>
    </xf>
    <xf numFmtId="0" fontId="13" fillId="16" borderId="7" xfId="0" applyFont="1" applyFill="1" applyBorder="1" applyAlignment="1" applyProtection="1">
      <alignment horizontal="center" vertical="center"/>
      <protection hidden="1"/>
    </xf>
    <xf numFmtId="0" fontId="14" fillId="20" borderId="28" xfId="0" applyFont="1" applyFill="1" applyBorder="1" applyAlignment="1" applyProtection="1">
      <alignment horizontal="center" vertical="center" wrapText="1"/>
      <protection locked="0"/>
    </xf>
    <xf numFmtId="0" fontId="20" fillId="23" borderId="0" xfId="2" applyFont="1" applyFill="1" applyBorder="1" applyAlignment="1" applyProtection="1">
      <alignment horizontal="left" vertical="center" indent="6"/>
      <protection hidden="1"/>
    </xf>
    <xf numFmtId="0" fontId="21" fillId="23" borderId="0" xfId="2" applyFont="1" applyFill="1" applyBorder="1" applyAlignment="1">
      <alignment horizontal="right"/>
    </xf>
    <xf numFmtId="2" fontId="2" fillId="4" borderId="4" xfId="2" applyNumberFormat="1" applyFont="1" applyFill="1" applyBorder="1" applyAlignment="1" applyProtection="1">
      <alignment horizontal="center" vertical="center" wrapText="1"/>
      <protection hidden="1"/>
    </xf>
    <xf numFmtId="2" fontId="2" fillId="4" borderId="28" xfId="2" applyNumberFormat="1" applyFont="1" applyFill="1" applyBorder="1" applyAlignment="1" applyProtection="1">
      <alignment horizontal="center" vertical="center" wrapText="1"/>
      <protection hidden="1"/>
    </xf>
    <xf numFmtId="2" fontId="21" fillId="9" borderId="4" xfId="2" applyNumberFormat="1" applyFont="1" applyFill="1" applyBorder="1" applyAlignment="1" applyProtection="1">
      <alignment horizontal="center" vertical="center" wrapText="1"/>
      <protection hidden="1"/>
    </xf>
    <xf numFmtId="2" fontId="8" fillId="9" borderId="4" xfId="1" applyNumberFormat="1" applyFont="1" applyFill="1" applyBorder="1" applyAlignment="1" applyProtection="1">
      <alignment horizontal="center" vertical="center"/>
      <protection hidden="1"/>
    </xf>
    <xf numFmtId="0" fontId="21" fillId="23" borderId="0"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2" fillId="10" borderId="39" xfId="2" applyFill="1" applyBorder="1" applyAlignment="1" applyProtection="1">
      <alignment horizontal="left" vertical="center" wrapText="1" indent="8"/>
      <protection hidden="1"/>
    </xf>
    <xf numFmtId="0" fontId="2" fillId="10" borderId="0" xfId="2" applyFill="1" applyBorder="1" applyAlignment="1" applyProtection="1">
      <alignment horizontal="left" vertical="center" wrapText="1" indent="8"/>
      <protection hidden="1"/>
    </xf>
    <xf numFmtId="0" fontId="2" fillId="10" borderId="40" xfId="2" applyFill="1" applyBorder="1" applyAlignment="1" applyProtection="1">
      <alignment horizontal="left" vertical="center" wrapText="1" indent="8"/>
      <protection hidden="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wrapText="1"/>
      <protection hidden="1"/>
    </xf>
    <xf numFmtId="0" fontId="2" fillId="2" borderId="0" xfId="2" applyFill="1" applyBorder="1" applyAlignment="1" applyProtection="1">
      <alignment horizontal="left" wrapText="1"/>
      <protection hidden="1"/>
    </xf>
    <xf numFmtId="0" fontId="14" fillId="4" borderId="28" xfId="0" applyFont="1" applyFill="1" applyBorder="1" applyAlignment="1" applyProtection="1">
      <alignment horizontal="left" indent="1"/>
      <protection hidden="1"/>
    </xf>
    <xf numFmtId="0" fontId="2" fillId="4" borderId="28" xfId="4" applyNumberFormat="1" applyFont="1" applyFill="1" applyBorder="1" applyAlignment="1" applyProtection="1">
      <alignment horizontal="center"/>
      <protection hidden="1"/>
    </xf>
    <xf numFmtId="0" fontId="2" fillId="4" borderId="28" xfId="4" applyNumberFormat="1" applyFont="1" applyFill="1" applyBorder="1" applyAlignment="1" applyProtection="1">
      <alignment horizontal="center" vertical="center"/>
      <protection hidden="1"/>
    </xf>
    <xf numFmtId="0" fontId="19" fillId="16" borderId="7" xfId="2" applyFont="1" applyFill="1" applyBorder="1" applyAlignment="1" applyProtection="1">
      <alignment horizontal="center" vertical="center" wrapText="1"/>
      <protection hidden="1"/>
    </xf>
    <xf numFmtId="0" fontId="19" fillId="16" borderId="8" xfId="2" applyFont="1" applyFill="1" applyBorder="1" applyAlignment="1" applyProtection="1">
      <alignment horizontal="center" vertical="center" wrapText="1"/>
      <protection hidden="1"/>
    </xf>
    <xf numFmtId="0" fontId="21" fillId="4" borderId="28" xfId="2" applyFont="1" applyFill="1" applyBorder="1" applyAlignment="1" applyProtection="1">
      <alignment horizontal="center" vertical="center"/>
      <protection hidden="1"/>
    </xf>
    <xf numFmtId="0" fontId="21" fillId="4" borderId="4" xfId="2" applyFont="1" applyFill="1" applyBorder="1" applyAlignment="1" applyProtection="1">
      <alignment horizontal="center" vertical="center"/>
      <protection hidden="1"/>
    </xf>
    <xf numFmtId="0" fontId="25" fillId="10" borderId="25" xfId="2" applyFont="1" applyFill="1" applyBorder="1" applyAlignment="1" applyProtection="1">
      <alignment horizontal="center" vertical="center" wrapText="1"/>
      <protection hidden="1"/>
    </xf>
    <xf numFmtId="0" fontId="34" fillId="5" borderId="0" xfId="0" applyFont="1" applyFill="1" applyProtection="1">
      <protection hidden="1"/>
    </xf>
    <xf numFmtId="0" fontId="110" fillId="5" borderId="0" xfId="0" applyFont="1" applyFill="1" applyAlignment="1" applyProtection="1">
      <protection hidden="1"/>
    </xf>
    <xf numFmtId="0" fontId="171" fillId="2" borderId="0" xfId="0" applyFont="1" applyFill="1" applyAlignment="1" applyProtection="1">
      <alignment vertical="center"/>
      <protection hidden="1"/>
    </xf>
    <xf numFmtId="0" fontId="71" fillId="5" borderId="0" xfId="2" applyFont="1" applyFill="1" applyAlignment="1">
      <alignment horizontal="left" indent="1"/>
    </xf>
    <xf numFmtId="0" fontId="71" fillId="5" borderId="0" xfId="2" applyFont="1" applyFill="1"/>
    <xf numFmtId="0" fontId="123" fillId="5" borderId="0" xfId="0" applyFont="1" applyFill="1" applyAlignment="1" applyProtection="1">
      <protection hidden="1"/>
    </xf>
    <xf numFmtId="0" fontId="77" fillId="5" borderId="0" xfId="0" applyFont="1" applyFill="1" applyBorder="1" applyAlignment="1" applyProtection="1">
      <alignment horizontal="left" vertical="center" indent="1"/>
      <protection hidden="1"/>
    </xf>
    <xf numFmtId="0" fontId="34" fillId="5" borderId="0" xfId="0" applyFont="1" applyFill="1" applyBorder="1" applyProtection="1">
      <protection hidden="1"/>
    </xf>
    <xf numFmtId="0" fontId="172" fillId="2" borderId="0" xfId="0" applyFont="1" applyFill="1" applyAlignment="1" applyProtection="1">
      <alignment horizontal="left" vertical="top" wrapText="1"/>
      <protection hidden="1"/>
    </xf>
    <xf numFmtId="0" fontId="174" fillId="2" borderId="0" xfId="0" applyFont="1" applyFill="1" applyAlignment="1">
      <alignment horizontal="left" vertical="center" indent="1"/>
    </xf>
    <xf numFmtId="0" fontId="84" fillId="2" borderId="0" xfId="0" applyFont="1" applyFill="1" applyAlignment="1" applyProtection="1">
      <alignment horizontal="left" indent="2"/>
      <protection hidden="1"/>
    </xf>
    <xf numFmtId="0" fontId="152" fillId="11" borderId="0" xfId="0" applyFont="1" applyFill="1" applyAlignment="1">
      <alignment vertical="center"/>
    </xf>
    <xf numFmtId="0" fontId="10" fillId="21" borderId="0" xfId="0" applyFont="1" applyFill="1" applyBorder="1" applyAlignment="1" applyProtection="1">
      <alignment horizontal="left" vertical="center" indent="1"/>
      <protection hidden="1"/>
    </xf>
    <xf numFmtId="0" fontId="14" fillId="20" borderId="4" xfId="0" applyFont="1" applyFill="1" applyBorder="1" applyAlignment="1" applyProtection="1">
      <alignment horizontal="center" vertical="center" wrapText="1"/>
      <protection locked="0"/>
    </xf>
    <xf numFmtId="0" fontId="57" fillId="11" borderId="0" xfId="2" applyFont="1" applyFill="1" applyBorder="1" applyAlignment="1" applyProtection="1">
      <alignment horizontal="left" vertical="center" wrapText="1" indent="1"/>
      <protection hidden="1"/>
    </xf>
    <xf numFmtId="0" fontId="14" fillId="20" borderId="28" xfId="0" applyFont="1" applyFill="1" applyBorder="1" applyAlignment="1" applyProtection="1">
      <alignment horizontal="center" vertical="center" wrapText="1"/>
      <protection locked="0"/>
    </xf>
    <xf numFmtId="0" fontId="75" fillId="15" borderId="4"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protection hidden="1"/>
    </xf>
    <xf numFmtId="0" fontId="21" fillId="2" borderId="0" xfId="2" applyFont="1" applyFill="1" applyBorder="1" applyAlignment="1" applyProtection="1">
      <alignment horizontal="left" indent="5"/>
      <protection hidden="1"/>
    </xf>
    <xf numFmtId="0" fontId="13" fillId="6" borderId="10" xfId="0" applyFont="1" applyFill="1" applyBorder="1" applyAlignment="1" applyProtection="1">
      <alignment horizontal="left" vertical="center"/>
      <protection hidden="1"/>
    </xf>
    <xf numFmtId="0" fontId="14" fillId="15" borderId="4" xfId="0" applyFont="1" applyFill="1" applyBorder="1" applyAlignment="1">
      <alignment horizontal="left" vertical="center" wrapText="1"/>
    </xf>
    <xf numFmtId="0" fontId="13" fillId="6" borderId="10" xfId="0" applyFont="1" applyFill="1" applyBorder="1" applyAlignment="1" applyProtection="1">
      <alignment horizontal="center" vertical="center"/>
      <protection hidden="1"/>
    </xf>
    <xf numFmtId="0" fontId="170" fillId="2" borderId="0" xfId="0" applyFont="1" applyFill="1" applyProtection="1">
      <protection hidden="1"/>
    </xf>
    <xf numFmtId="0" fontId="72" fillId="2" borderId="0" xfId="0" applyFont="1" applyFill="1" applyAlignment="1" applyProtection="1">
      <alignment vertical="center"/>
      <protection hidden="1"/>
    </xf>
    <xf numFmtId="0" fontId="22"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57" fillId="11" borderId="0" xfId="2" applyFont="1" applyFill="1" applyBorder="1" applyAlignment="1" applyProtection="1">
      <alignment horizontal="left" vertical="center" wrapText="1" indent="1"/>
      <protection hidden="1"/>
    </xf>
    <xf numFmtId="0" fontId="14" fillId="20" borderId="29"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indent="7"/>
      <protection hidden="1"/>
    </xf>
    <xf numFmtId="0" fontId="2" fillId="10" borderId="36" xfId="2" applyFill="1" applyBorder="1" applyAlignment="1" applyProtection="1">
      <alignment horizontal="left" indent="6"/>
      <protection hidden="1"/>
    </xf>
    <xf numFmtId="0" fontId="2" fillId="10" borderId="37" xfId="2" applyFill="1" applyBorder="1" applyAlignment="1" applyProtection="1">
      <alignment horizontal="left" indent="6"/>
      <protection hidden="1"/>
    </xf>
    <xf numFmtId="0" fontId="2" fillId="10" borderId="38" xfId="2" applyFill="1" applyBorder="1" applyAlignment="1" applyProtection="1">
      <alignment horizontal="left" indent="6"/>
      <protection hidden="1"/>
    </xf>
    <xf numFmtId="0" fontId="2" fillId="10" borderId="39" xfId="2" applyFill="1" applyBorder="1" applyAlignment="1" applyProtection="1">
      <alignment horizontal="left" indent="7"/>
      <protection hidden="1"/>
    </xf>
    <xf numFmtId="0" fontId="2" fillId="10" borderId="39" xfId="2" applyFont="1" applyFill="1" applyBorder="1" applyAlignment="1" applyProtection="1">
      <alignment horizontal="left" vertical="center" indent="8"/>
      <protection hidden="1"/>
    </xf>
    <xf numFmtId="0" fontId="2" fillId="10" borderId="0" xfId="2" applyFill="1" applyBorder="1" applyAlignment="1" applyProtection="1">
      <alignment horizontal="left" indent="8"/>
      <protection hidden="1"/>
    </xf>
    <xf numFmtId="0" fontId="2" fillId="10" borderId="40" xfId="2" applyFill="1" applyBorder="1" applyAlignment="1" applyProtection="1">
      <alignment horizontal="left" indent="8"/>
      <protection hidden="1"/>
    </xf>
    <xf numFmtId="0" fontId="2" fillId="10" borderId="0" xfId="2" applyFont="1" applyFill="1" applyBorder="1" applyAlignment="1" applyProtection="1">
      <alignment horizontal="left" indent="6"/>
      <protection hidden="1"/>
    </xf>
    <xf numFmtId="0" fontId="2" fillId="10" borderId="40" xfId="2" applyFont="1" applyFill="1" applyBorder="1" applyAlignment="1" applyProtection="1">
      <alignment horizontal="left" indent="6"/>
      <protection hidden="1"/>
    </xf>
    <xf numFmtId="0" fontId="10" fillId="6" borderId="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2" fillId="10" borderId="39" xfId="2" applyFont="1" applyFill="1" applyBorder="1" applyAlignment="1" applyProtection="1">
      <alignment horizontal="left" vertical="center" wrapText="1" indent="8"/>
      <protection hidden="1"/>
    </xf>
    <xf numFmtId="0" fontId="2" fillId="10" borderId="0" xfId="2" applyFont="1" applyFill="1" applyBorder="1" applyAlignment="1" applyProtection="1">
      <alignment horizontal="left" vertical="center" wrapText="1" indent="8"/>
      <protection hidden="1"/>
    </xf>
    <xf numFmtId="0" fontId="2" fillId="10" borderId="40" xfId="2" applyFont="1" applyFill="1" applyBorder="1" applyAlignment="1" applyProtection="1">
      <alignment horizontal="left" vertical="center" wrapText="1" indent="8"/>
      <protection hidden="1"/>
    </xf>
    <xf numFmtId="0" fontId="35" fillId="6" borderId="0"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indent="5"/>
      <protection hidden="1"/>
    </xf>
    <xf numFmtId="0" fontId="2" fillId="10" borderId="39" xfId="2" applyFont="1" applyFill="1" applyBorder="1" applyAlignment="1" applyProtection="1">
      <alignment horizontal="left" indent="7"/>
      <protection hidden="1"/>
    </xf>
    <xf numFmtId="0" fontId="14" fillId="20" borderId="4" xfId="0" applyNumberFormat="1" applyFont="1" applyFill="1" applyBorder="1" applyAlignment="1" applyProtection="1">
      <alignment horizontal="center" vertical="center" wrapText="1"/>
      <protection locked="0"/>
    </xf>
    <xf numFmtId="0" fontId="13" fillId="6" borderId="10" xfId="0" applyFont="1" applyFill="1" applyBorder="1" applyAlignment="1" applyProtection="1">
      <alignment horizontal="center" vertical="center"/>
      <protection hidden="1"/>
    </xf>
    <xf numFmtId="0" fontId="2" fillId="2" borderId="0" xfId="2" applyFill="1" applyBorder="1" applyAlignment="1" applyProtection="1">
      <alignment horizontal="left" wrapText="1"/>
      <protection hidden="1"/>
    </xf>
    <xf numFmtId="0" fontId="2" fillId="2" borderId="0" xfId="2" applyFill="1" applyBorder="1" applyAlignment="1" applyProtection="1">
      <alignment horizontal="center"/>
      <protection hidden="1"/>
    </xf>
    <xf numFmtId="0" fontId="5" fillId="21" borderId="0" xfId="2" applyFont="1" applyFill="1" applyBorder="1" applyAlignment="1" applyProtection="1">
      <alignment vertical="center" wrapText="1"/>
      <protection hidden="1"/>
    </xf>
    <xf numFmtId="0" fontId="2" fillId="5" borderId="0" xfId="2" applyFont="1" applyFill="1"/>
    <xf numFmtId="0" fontId="2" fillId="2" borderId="0" xfId="2" applyFont="1" applyFill="1" applyAlignment="1" applyProtection="1">
      <alignment vertical="center"/>
      <protection hidden="1"/>
    </xf>
    <xf numFmtId="0" fontId="20" fillId="2" borderId="0" xfId="2" applyFont="1" applyFill="1" applyAlignment="1" applyProtection="1">
      <alignment vertical="center"/>
      <protection hidden="1"/>
    </xf>
    <xf numFmtId="0" fontId="11" fillId="6" borderId="7" xfId="2" applyFont="1" applyFill="1" applyBorder="1" applyAlignment="1" applyProtection="1">
      <alignment horizontal="center" wrapText="1"/>
      <protection hidden="1"/>
    </xf>
    <xf numFmtId="0" fontId="2" fillId="10" borderId="4" xfId="2" applyFill="1" applyBorder="1" applyAlignment="1" applyProtection="1">
      <alignment horizontal="center" vertical="center"/>
      <protection hidden="1"/>
    </xf>
    <xf numFmtId="0" fontId="2" fillId="10" borderId="4" xfId="2" applyFill="1" applyBorder="1" applyAlignment="1" applyProtection="1">
      <alignment vertical="center"/>
      <protection hidden="1"/>
    </xf>
    <xf numFmtId="0" fontId="20" fillId="2" borderId="0" xfId="0" applyFont="1" applyFill="1" applyBorder="1" applyAlignment="1" applyProtection="1">
      <alignment horizontal="left" vertical="center" indent="5"/>
      <protection hidden="1"/>
    </xf>
    <xf numFmtId="0" fontId="22"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166" fontId="14" fillId="20" borderId="28" xfId="0" applyNumberFormat="1" applyFont="1" applyFill="1" applyBorder="1" applyAlignment="1" applyProtection="1">
      <alignment horizontal="center" vertical="center" wrapText="1"/>
      <protection locked="0"/>
    </xf>
    <xf numFmtId="0" fontId="13" fillId="5" borderId="7" xfId="0" applyFont="1" applyFill="1" applyBorder="1" applyAlignment="1" applyProtection="1">
      <alignment horizontal="center" vertical="center"/>
      <protection hidden="1"/>
    </xf>
    <xf numFmtId="0" fontId="2" fillId="11" borderId="0" xfId="2" applyFont="1" applyFill="1" applyBorder="1" applyAlignment="1">
      <alignment horizontal="left" vertical="center" wrapText="1"/>
    </xf>
    <xf numFmtId="0" fontId="2" fillId="11" borderId="0" xfId="2" applyFont="1" applyFill="1" applyBorder="1" applyAlignment="1">
      <alignment horizontal="left" vertical="center"/>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99" fillId="0" borderId="0" xfId="0" applyFont="1" applyAlignment="1">
      <alignment vertical="center" wrapText="1"/>
    </xf>
    <xf numFmtId="0" fontId="2" fillId="11" borderId="0" xfId="2" quotePrefix="1" applyFont="1" applyFill="1" applyBorder="1" applyAlignment="1">
      <alignment horizontal="left" indent="1"/>
    </xf>
    <xf numFmtId="0" fontId="2" fillId="11" borderId="0" xfId="2" quotePrefix="1" applyFont="1" applyFill="1" applyBorder="1" applyAlignment="1">
      <alignment horizontal="left" vertical="center" indent="1"/>
    </xf>
    <xf numFmtId="0" fontId="4" fillId="5" borderId="4" xfId="0" applyFont="1" applyFill="1" applyBorder="1" applyAlignment="1">
      <alignment horizontal="center" vertical="center"/>
    </xf>
    <xf numFmtId="0" fontId="22" fillId="14" borderId="36" xfId="2" applyFont="1" applyFill="1" applyBorder="1" applyAlignment="1" applyProtection="1">
      <alignment horizontal="left" vertical="center" wrapText="1"/>
      <protection hidden="1"/>
    </xf>
    <xf numFmtId="0" fontId="22" fillId="14" borderId="39" xfId="2" applyFont="1" applyFill="1" applyBorder="1" applyAlignment="1" applyProtection="1">
      <alignment horizontal="left" vertical="center" wrapText="1"/>
      <protection hidden="1"/>
    </xf>
    <xf numFmtId="0" fontId="27" fillId="14" borderId="37" xfId="2" applyFont="1" applyFill="1" applyBorder="1" applyAlignment="1" applyProtection="1">
      <alignment horizontal="center" vertical="center" wrapText="1"/>
      <protection hidden="1"/>
    </xf>
    <xf numFmtId="0" fontId="27" fillId="14" borderId="0" xfId="2" applyFont="1" applyFill="1" applyBorder="1" applyAlignment="1" applyProtection="1">
      <alignment horizontal="center" vertical="center" wrapText="1"/>
      <protection hidden="1"/>
    </xf>
    <xf numFmtId="0" fontId="22" fillId="14" borderId="38"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1" fillId="2" borderId="0" xfId="2" applyFont="1" applyFill="1" applyBorder="1" applyAlignment="1" applyProtection="1">
      <alignment horizontal="left" indent="5"/>
      <protection hidden="1"/>
    </xf>
    <xf numFmtId="0" fontId="13" fillId="5" borderId="7" xfId="0" applyFont="1" applyFill="1" applyBorder="1" applyAlignment="1" applyProtection="1">
      <alignment horizontal="center" vertical="center"/>
      <protection hidden="1"/>
    </xf>
    <xf numFmtId="2" fontId="14" fillId="20" borderId="10" xfId="0" applyNumberFormat="1" applyFont="1" applyFill="1" applyBorder="1" applyAlignment="1" applyProtection="1">
      <alignment horizontal="center" vertical="center" wrapText="1"/>
      <protection locked="0"/>
    </xf>
    <xf numFmtId="0" fontId="21" fillId="2" borderId="0" xfId="2" applyFont="1" applyFill="1" applyBorder="1" applyAlignment="1">
      <alignment horizontal="left" vertical="center" indent="5"/>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wrapText="1"/>
      <protection hidden="1"/>
    </xf>
    <xf numFmtId="0" fontId="14" fillId="20" borderId="28" xfId="0" applyFont="1" applyFill="1" applyBorder="1" applyAlignment="1" applyProtection="1">
      <alignment horizontal="center" vertical="center" wrapText="1"/>
      <protection locked="0"/>
    </xf>
    <xf numFmtId="0" fontId="2" fillId="10" borderId="36" xfId="2" applyFill="1" applyBorder="1" applyAlignment="1" applyProtection="1">
      <alignment horizontal="left" indent="7"/>
      <protection hidden="1"/>
    </xf>
    <xf numFmtId="0" fontId="21" fillId="2" borderId="0" xfId="2" applyFont="1" applyFill="1" applyBorder="1" applyAlignment="1" applyProtection="1">
      <alignment horizontal="left" indent="5"/>
      <protection hidden="1"/>
    </xf>
    <xf numFmtId="0" fontId="2" fillId="4" borderId="4" xfId="0" applyFont="1" applyFill="1" applyBorder="1" applyAlignment="1" applyProtection="1">
      <alignment horizontal="center" vertical="center" wrapText="1"/>
      <protection hidden="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ill="1" applyAlignment="1" applyProtection="1">
      <alignment horizontal="left" vertical="top" wrapText="1"/>
      <protection hidden="1"/>
    </xf>
    <xf numFmtId="0" fontId="22"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 fillId="10" borderId="22" xfId="2" applyFill="1" applyBorder="1" applyAlignment="1" applyProtection="1">
      <alignment horizontal="left" indent="9"/>
      <protection hidden="1"/>
    </xf>
    <xf numFmtId="2" fontId="2" fillId="4" borderId="28" xfId="0" applyNumberFormat="1"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8" fillId="20" borderId="2" xfId="2" applyFont="1" applyFill="1" applyBorder="1" applyAlignment="1" applyProtection="1">
      <alignment horizontal="center" vertical="center"/>
      <protection locked="0"/>
    </xf>
    <xf numFmtId="0" fontId="2" fillId="11" borderId="0" xfId="2" applyFont="1" applyFill="1" applyBorder="1" applyAlignment="1">
      <alignment horizontal="left" vertical="center" wrapText="1"/>
    </xf>
    <xf numFmtId="0" fontId="2" fillId="2" borderId="0" xfId="2" applyFill="1" applyAlignment="1" applyProtection="1">
      <alignment horizontal="left" vertical="center" indent="6"/>
      <protection hidden="1"/>
    </xf>
    <xf numFmtId="0" fontId="0" fillId="0" borderId="0" xfId="0" applyAlignment="1" applyProtection="1">
      <alignment horizontal="left" vertical="center" indent="6"/>
      <protection hidden="1"/>
    </xf>
    <xf numFmtId="0" fontId="0" fillId="2" borderId="0" xfId="0" applyFont="1" applyFill="1" applyBorder="1" applyAlignment="1">
      <alignment vertical="center" wrapText="1"/>
    </xf>
    <xf numFmtId="0" fontId="19" fillId="6" borderId="83" xfId="2" applyFont="1" applyFill="1" applyBorder="1" applyAlignment="1" applyProtection="1">
      <alignment horizontal="center" vertical="center" wrapText="1"/>
      <protection hidden="1"/>
    </xf>
    <xf numFmtId="0" fontId="55" fillId="2" borderId="0" xfId="0" applyFont="1" applyFill="1" applyAlignment="1"/>
    <xf numFmtId="0" fontId="2" fillId="10" borderId="0" xfId="2" applyFont="1" applyFill="1" applyBorder="1"/>
    <xf numFmtId="0" fontId="2" fillId="10" borderId="0" xfId="2" applyFont="1" applyFill="1"/>
    <xf numFmtId="0" fontId="0" fillId="11" borderId="123" xfId="0" applyFill="1" applyBorder="1"/>
    <xf numFmtId="0" fontId="0" fillId="11" borderId="124" xfId="0" applyFill="1" applyBorder="1"/>
    <xf numFmtId="0" fontId="0" fillId="11" borderId="125" xfId="0" applyFill="1" applyBorder="1"/>
    <xf numFmtId="0" fontId="0" fillId="11" borderId="126" xfId="0" applyFill="1" applyBorder="1"/>
    <xf numFmtId="0" fontId="18" fillId="11" borderId="127" xfId="0" applyFont="1" applyFill="1" applyBorder="1"/>
    <xf numFmtId="0" fontId="18" fillId="11" borderId="128" xfId="0" applyFont="1" applyFill="1" applyBorder="1"/>
    <xf numFmtId="0" fontId="18" fillId="11" borderId="129" xfId="0" applyFont="1" applyFill="1" applyBorder="1"/>
    <xf numFmtId="0" fontId="0" fillId="11" borderId="0" xfId="0" applyFill="1" applyBorder="1"/>
    <xf numFmtId="0" fontId="183" fillId="11" borderId="0" xfId="0" applyFont="1" applyFill="1" applyAlignment="1">
      <alignment vertical="center"/>
    </xf>
    <xf numFmtId="0" fontId="184" fillId="11" borderId="0" xfId="0" applyFont="1" applyFill="1" applyAlignment="1">
      <alignment vertical="center"/>
    </xf>
    <xf numFmtId="0" fontId="0" fillId="11" borderId="130" xfId="0" applyFill="1" applyBorder="1"/>
    <xf numFmtId="0" fontId="18" fillId="11" borderId="131" xfId="0" applyFont="1" applyFill="1" applyBorder="1"/>
    <xf numFmtId="0" fontId="18" fillId="11" borderId="132" xfId="0" applyFont="1" applyFill="1" applyBorder="1"/>
    <xf numFmtId="0" fontId="18" fillId="11" borderId="133" xfId="0" applyFont="1" applyFill="1" applyBorder="1"/>
    <xf numFmtId="0" fontId="18" fillId="11" borderId="134" xfId="0" applyFont="1" applyFill="1" applyBorder="1"/>
    <xf numFmtId="0" fontId="18" fillId="11" borderId="135" xfId="0" applyFont="1" applyFill="1" applyBorder="1"/>
    <xf numFmtId="0" fontId="18" fillId="11" borderId="136" xfId="0" applyFont="1" applyFill="1" applyBorder="1"/>
    <xf numFmtId="0" fontId="18" fillId="11" borderId="137" xfId="0" applyFont="1" applyFill="1" applyBorder="1"/>
    <xf numFmtId="0" fontId="18" fillId="11" borderId="138" xfId="0" applyFont="1" applyFill="1" applyBorder="1"/>
    <xf numFmtId="0" fontId="185" fillId="11" borderId="0" xfId="0" applyFont="1" applyFill="1" applyAlignment="1">
      <alignment vertical="center"/>
    </xf>
    <xf numFmtId="0" fontId="0" fillId="11" borderId="42" xfId="0" applyFill="1" applyBorder="1"/>
    <xf numFmtId="0" fontId="0" fillId="11" borderId="44" xfId="0" applyFill="1" applyBorder="1"/>
    <xf numFmtId="0" fontId="0" fillId="11" borderId="46" xfId="0" applyFill="1" applyBorder="1"/>
    <xf numFmtId="0" fontId="0" fillId="11" borderId="6" xfId="0" applyFill="1" applyBorder="1"/>
    <xf numFmtId="0" fontId="0" fillId="11" borderId="48" xfId="0" applyFill="1" applyBorder="1"/>
    <xf numFmtId="0" fontId="18" fillId="11" borderId="46" xfId="0" applyFont="1" applyFill="1" applyBorder="1"/>
    <xf numFmtId="0" fontId="14" fillId="11" borderId="0" xfId="2" applyFont="1" applyFill="1" applyBorder="1" applyAlignment="1">
      <alignment horizontal="left" vertical="center" indent="1"/>
    </xf>
    <xf numFmtId="0" fontId="2" fillId="11" borderId="0" xfId="2" applyFont="1" applyFill="1" applyBorder="1" applyAlignment="1">
      <alignment horizontal="left" indent="1"/>
    </xf>
    <xf numFmtId="0" fontId="187" fillId="11" borderId="0" xfId="2" applyFont="1" applyFill="1" applyBorder="1" applyAlignment="1">
      <alignment vertical="center"/>
    </xf>
    <xf numFmtId="0" fontId="2" fillId="6" borderId="0" xfId="2" applyFill="1" applyBorder="1" applyProtection="1">
      <protection hidden="1"/>
    </xf>
    <xf numFmtId="0" fontId="21" fillId="22" borderId="0" xfId="2" applyFont="1" applyFill="1" applyBorder="1" applyAlignment="1" applyProtection="1">
      <alignment horizontal="left" vertical="center" indent="6"/>
      <protection hidden="1"/>
    </xf>
    <xf numFmtId="0" fontId="2" fillId="22" borderId="0" xfId="2" applyFont="1" applyFill="1" applyBorder="1" applyAlignment="1" applyProtection="1">
      <alignment horizontal="left" indent="6"/>
      <protection hidden="1"/>
    </xf>
    <xf numFmtId="0" fontId="2" fillId="22" borderId="0" xfId="2" applyFill="1" applyBorder="1" applyAlignment="1" applyProtection="1">
      <alignment wrapText="1"/>
      <protection hidden="1"/>
    </xf>
    <xf numFmtId="0" fontId="2" fillId="22" borderId="0" xfId="2" applyFont="1" applyFill="1" applyBorder="1" applyAlignment="1" applyProtection="1">
      <alignment vertical="top" wrapText="1"/>
      <protection hidden="1"/>
    </xf>
    <xf numFmtId="0" fontId="2" fillId="22" borderId="0" xfId="2" applyFill="1" applyBorder="1" applyAlignment="1" applyProtection="1">
      <alignment vertical="top" wrapText="1"/>
      <protection hidden="1"/>
    </xf>
    <xf numFmtId="0" fontId="2" fillId="22" borderId="0" xfId="2" applyFill="1" applyBorder="1" applyAlignment="1" applyProtection="1">
      <alignment vertical="center" wrapText="1"/>
      <protection hidden="1"/>
    </xf>
    <xf numFmtId="0" fontId="20" fillId="22" borderId="0" xfId="2" applyFont="1" applyFill="1" applyAlignment="1" applyProtection="1">
      <alignment vertical="center"/>
      <protection hidden="1"/>
    </xf>
    <xf numFmtId="0" fontId="20" fillId="22" borderId="0" xfId="2" applyFont="1" applyFill="1" applyAlignment="1" applyProtection="1">
      <alignment vertical="center" wrapText="1"/>
      <protection hidden="1"/>
    </xf>
    <xf numFmtId="0" fontId="20" fillId="22" borderId="0" xfId="2" applyFont="1" applyFill="1" applyAlignment="1" applyProtection="1">
      <alignment wrapText="1"/>
      <protection hidden="1"/>
    </xf>
    <xf numFmtId="0" fontId="20" fillId="22" borderId="0" xfId="0" applyFont="1" applyFill="1" applyBorder="1" applyAlignment="1" applyProtection="1">
      <alignment horizontal="left" vertical="center" indent="5"/>
      <protection hidden="1"/>
    </xf>
    <xf numFmtId="0" fontId="2" fillId="22" borderId="20" xfId="2" applyFill="1" applyBorder="1" applyProtection="1">
      <protection hidden="1"/>
    </xf>
    <xf numFmtId="0" fontId="13" fillId="6" borderId="121" xfId="0" applyFont="1" applyFill="1" applyBorder="1" applyAlignment="1" applyProtection="1">
      <alignment horizontal="center" vertical="center"/>
      <protection hidden="1"/>
    </xf>
    <xf numFmtId="0" fontId="13" fillId="6" borderId="55" xfId="0" applyFont="1" applyFill="1" applyBorder="1" applyAlignment="1" applyProtection="1">
      <alignment horizontal="center" vertical="center" wrapText="1"/>
      <protection hidden="1"/>
    </xf>
    <xf numFmtId="0" fontId="21" fillId="27" borderId="0" xfId="2" applyFont="1" applyFill="1" applyBorder="1" applyAlignment="1" applyProtection="1">
      <alignment horizontal="left" indent="6"/>
      <protection hidden="1"/>
    </xf>
    <xf numFmtId="0" fontId="2" fillId="27" borderId="0" xfId="2" applyFill="1" applyAlignment="1" applyProtection="1">
      <alignment horizontal="left" indent="1"/>
      <protection hidden="1"/>
    </xf>
    <xf numFmtId="0" fontId="10" fillId="27" borderId="0" xfId="0" applyFont="1" applyFill="1" applyBorder="1" applyAlignment="1" applyProtection="1">
      <alignment horizontal="left" vertical="center" indent="1"/>
      <protection hidden="1"/>
    </xf>
    <xf numFmtId="0" fontId="6" fillId="27" borderId="0" xfId="0" applyFont="1" applyFill="1" applyBorder="1" applyAlignment="1" applyProtection="1">
      <alignment vertical="center"/>
      <protection hidden="1"/>
    </xf>
    <xf numFmtId="0" fontId="35" fillId="27" borderId="0" xfId="0" applyFont="1" applyFill="1" applyBorder="1" applyAlignment="1" applyProtection="1">
      <alignment vertical="center"/>
      <protection hidden="1"/>
    </xf>
    <xf numFmtId="0" fontId="20" fillId="27" borderId="0" xfId="2" applyFont="1" applyFill="1" applyBorder="1" applyAlignment="1" applyProtection="1">
      <alignment horizontal="left" vertical="center" indent="5"/>
      <protection hidden="1"/>
    </xf>
    <xf numFmtId="0" fontId="21" fillId="27" borderId="0" xfId="2" applyFont="1" applyFill="1" applyBorder="1" applyProtection="1">
      <protection hidden="1"/>
    </xf>
    <xf numFmtId="0" fontId="2" fillId="27" borderId="0" xfId="2" applyFill="1" applyAlignment="1" applyProtection="1">
      <alignment horizontal="left" indent="5"/>
      <protection hidden="1"/>
    </xf>
    <xf numFmtId="0" fontId="2" fillId="27" borderId="39" xfId="2" applyFill="1" applyBorder="1" applyProtection="1">
      <protection hidden="1"/>
    </xf>
    <xf numFmtId="0" fontId="21" fillId="11" borderId="139" xfId="2" applyFont="1" applyFill="1" applyBorder="1" applyAlignment="1" applyProtection="1">
      <alignment horizontal="center" vertical="center"/>
      <protection hidden="1"/>
    </xf>
    <xf numFmtId="0" fontId="2" fillId="10" borderId="42" xfId="2" applyFill="1" applyBorder="1" applyProtection="1">
      <protection hidden="1"/>
    </xf>
    <xf numFmtId="0" fontId="2" fillId="10" borderId="44" xfId="2" applyFill="1" applyBorder="1" applyProtection="1">
      <protection hidden="1"/>
    </xf>
    <xf numFmtId="0" fontId="2" fillId="10" borderId="46" xfId="2" applyFill="1" applyBorder="1" applyProtection="1">
      <protection hidden="1"/>
    </xf>
    <xf numFmtId="0" fontId="2" fillId="10" borderId="6" xfId="2" applyFill="1" applyBorder="1" applyProtection="1">
      <protection hidden="1"/>
    </xf>
    <xf numFmtId="0" fontId="2" fillId="10" borderId="48" xfId="2" applyFill="1" applyBorder="1" applyProtection="1">
      <protection hidden="1"/>
    </xf>
    <xf numFmtId="0" fontId="2" fillId="10" borderId="43" xfId="2" applyFill="1" applyBorder="1" applyAlignment="1" applyProtection="1">
      <alignment horizontal="left" indent="6"/>
      <protection hidden="1"/>
    </xf>
    <xf numFmtId="0" fontId="2" fillId="10" borderId="45" xfId="2" applyFill="1" applyBorder="1" applyAlignment="1" applyProtection="1">
      <alignment horizontal="left" indent="6"/>
      <protection hidden="1"/>
    </xf>
    <xf numFmtId="0" fontId="2" fillId="10" borderId="47" xfId="2" applyFill="1" applyBorder="1" applyAlignment="1" applyProtection="1">
      <alignment horizontal="left" indent="6"/>
      <protection hidden="1"/>
    </xf>
    <xf numFmtId="0" fontId="8" fillId="11" borderId="0" xfId="0" applyFont="1" applyFill="1"/>
    <xf numFmtId="0" fontId="8" fillId="11" borderId="75" xfId="3" applyFont="1" applyFill="1" applyBorder="1" applyAlignment="1">
      <alignment vertical="center"/>
    </xf>
    <xf numFmtId="0" fontId="8" fillId="11" borderId="0" xfId="3" applyFont="1" applyFill="1" applyBorder="1" applyAlignment="1">
      <alignment vertical="center"/>
    </xf>
    <xf numFmtId="0" fontId="129" fillId="10" borderId="0" xfId="2" applyFont="1" applyFill="1" applyBorder="1" applyAlignment="1">
      <alignment vertical="center"/>
    </xf>
    <xf numFmtId="0" fontId="2" fillId="4" borderId="4" xfId="0" applyFont="1" applyFill="1" applyBorder="1" applyAlignment="1" applyProtection="1">
      <alignment horizontal="left" vertical="center" wrapText="1"/>
      <protection hidden="1"/>
    </xf>
    <xf numFmtId="0" fontId="2" fillId="10" borderId="47" xfId="2" applyFill="1" applyBorder="1" applyAlignment="1" applyProtection="1">
      <alignment horizontal="left" vertical="center" indent="6"/>
      <protection hidden="1"/>
    </xf>
    <xf numFmtId="0" fontId="2" fillId="4" borderId="4" xfId="0" applyFont="1" applyFill="1" applyBorder="1" applyAlignment="1" applyProtection="1">
      <alignment horizontal="left" vertical="center" wrapText="1"/>
      <protection hidden="1"/>
    </xf>
    <xf numFmtId="0" fontId="2" fillId="20" borderId="4" xfId="4" applyNumberFormat="1" applyFont="1" applyFill="1" applyBorder="1" applyAlignment="1" applyProtection="1">
      <alignment horizontal="center" vertical="center" wrapText="1"/>
      <protection locked="0"/>
    </xf>
    <xf numFmtId="0" fontId="13" fillId="17" borderId="8" xfId="4" applyFont="1" applyFill="1" applyBorder="1" applyAlignment="1" applyProtection="1">
      <alignment horizontal="center" vertical="center" wrapText="1"/>
      <protection hidden="1"/>
    </xf>
    <xf numFmtId="0" fontId="2" fillId="4" borderId="4" xfId="4" applyNumberFormat="1" applyFont="1" applyFill="1" applyBorder="1" applyAlignment="1" applyProtection="1">
      <alignment horizontal="center" vertical="center"/>
      <protection hidden="1"/>
    </xf>
    <xf numFmtId="0" fontId="14" fillId="20" borderId="29"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 fillId="2" borderId="0" xfId="2" applyFill="1" applyBorder="1" applyAlignment="1" applyProtection="1">
      <alignment horizontal="left" wrapText="1"/>
      <protection hidden="1"/>
    </xf>
    <xf numFmtId="0" fontId="2" fillId="24" borderId="0" xfId="2" applyFill="1" applyBorder="1" applyAlignment="1" applyProtection="1">
      <alignment horizontal="left" vertical="center" indent="5"/>
      <protection hidden="1"/>
    </xf>
    <xf numFmtId="0" fontId="2" fillId="24" borderId="0" xfId="2" applyFill="1" applyBorder="1" applyAlignment="1" applyProtection="1">
      <alignment vertical="top"/>
      <protection hidden="1"/>
    </xf>
    <xf numFmtId="0" fontId="2" fillId="4" borderId="7" xfId="0" applyFont="1" applyFill="1" applyBorder="1" applyAlignment="1" applyProtection="1">
      <alignment vertical="center" wrapText="1"/>
      <protection hidden="1"/>
    </xf>
    <xf numFmtId="0" fontId="2" fillId="4" borderId="8" xfId="0" applyFont="1" applyFill="1" applyBorder="1" applyAlignment="1" applyProtection="1">
      <alignment vertical="center" wrapText="1"/>
      <protection hidden="1"/>
    </xf>
    <xf numFmtId="0" fontId="2" fillId="23" borderId="0" xfId="2" applyFont="1" applyFill="1" applyBorder="1" applyAlignment="1" applyProtection="1">
      <alignment horizontal="left" vertical="center" indent="6"/>
      <protection hidden="1"/>
    </xf>
    <xf numFmtId="0" fontId="2" fillId="10" borderId="43" xfId="2" applyFill="1" applyBorder="1" applyAlignment="1" applyProtection="1">
      <alignment horizontal="left" vertical="center" indent="6"/>
      <protection hidden="1"/>
    </xf>
    <xf numFmtId="0" fontId="13" fillId="17" borderId="7" xfId="4" applyFont="1" applyFill="1" applyBorder="1" applyAlignment="1" applyProtection="1">
      <alignment horizontal="center" vertical="distributed" wrapText="1"/>
      <protection hidden="1"/>
    </xf>
    <xf numFmtId="0" fontId="2" fillId="4" borderId="4"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3" fillId="7" borderId="7" xfId="0" applyFont="1" applyFill="1" applyBorder="1" applyAlignment="1" applyProtection="1">
      <alignment horizontal="center" vertical="center"/>
      <protection hidden="1"/>
    </xf>
    <xf numFmtId="0" fontId="11" fillId="5" borderId="92" xfId="2" applyFont="1" applyFill="1" applyBorder="1" applyAlignment="1" applyProtection="1">
      <alignment horizontal="center" vertical="center"/>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inden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21" fillId="10" borderId="39" xfId="2" quotePrefix="1" applyFont="1" applyFill="1" applyBorder="1" applyAlignment="1" applyProtection="1">
      <alignment horizontal="left" indent="6"/>
      <protection hidden="1"/>
    </xf>
    <xf numFmtId="0" fontId="21" fillId="10" borderId="22" xfId="2" applyFont="1" applyFill="1" applyBorder="1" applyAlignment="1" applyProtection="1">
      <alignment horizontal="left" indent="6"/>
      <protection hidden="1"/>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10" xfId="0" applyFont="1" applyFill="1" applyBorder="1" applyAlignment="1" applyProtection="1">
      <alignment horizontal="center" vertical="center"/>
      <protection hidden="1"/>
    </xf>
    <xf numFmtId="0" fontId="180" fillId="11" borderId="0" xfId="0" applyFont="1" applyFill="1" applyBorder="1" applyAlignment="1">
      <alignment horizontal="justify" vertical="center" wrapText="1"/>
    </xf>
    <xf numFmtId="0" fontId="14" fillId="20" borderId="4" xfId="0" applyFont="1" applyFill="1" applyBorder="1" applyAlignment="1" applyProtection="1">
      <alignment horizontal="center" vertical="center" wrapText="1"/>
      <protection locked="0"/>
    </xf>
    <xf numFmtId="0" fontId="13" fillId="13" borderId="7" xfId="0" applyFont="1" applyFill="1" applyBorder="1" applyAlignment="1" applyProtection="1">
      <alignment horizontal="center" vertical="center"/>
      <protection hidden="1"/>
    </xf>
    <xf numFmtId="0" fontId="21" fillId="2" borderId="0" xfId="0" applyFont="1" applyFill="1" applyBorder="1" applyAlignment="1" applyProtection="1">
      <alignment horizontal="left" vertical="center" wrapText="1"/>
      <protection hidden="1"/>
    </xf>
    <xf numFmtId="0" fontId="2" fillId="2" borderId="35" xfId="2" applyFill="1" applyBorder="1"/>
    <xf numFmtId="0" fontId="14" fillId="20" borderId="142" xfId="0" applyFont="1" applyFill="1" applyBorder="1" applyAlignment="1" applyProtection="1">
      <alignment horizontal="center" vertical="center" wrapText="1"/>
      <protection locked="0"/>
    </xf>
    <xf numFmtId="0" fontId="10" fillId="13" borderId="0" xfId="0" applyFont="1" applyFill="1" applyBorder="1" applyAlignment="1" applyProtection="1">
      <alignment vertical="center"/>
      <protection hidden="1"/>
    </xf>
    <xf numFmtId="0" fontId="14" fillId="20" borderId="28"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10" borderId="28" xfId="0" applyFont="1" applyFill="1" applyBorder="1" applyAlignment="1" applyProtection="1">
      <alignment horizontal="center" vertical="center" wrapText="1"/>
      <protection hidden="1"/>
    </xf>
    <xf numFmtId="166" fontId="14" fillId="20" borderId="28" xfId="0" applyNumberFormat="1" applyFont="1" applyFill="1" applyBorder="1" applyAlignment="1" applyProtection="1">
      <alignment horizontal="center" vertical="center" wrapText="1"/>
      <protection locked="0"/>
    </xf>
    <xf numFmtId="0" fontId="14" fillId="4" borderId="28" xfId="1" applyNumberFormat="1" applyFont="1" applyFill="1" applyBorder="1" applyAlignment="1" applyProtection="1">
      <alignment horizontal="center" vertical="center" wrapText="1"/>
      <protection hidden="1"/>
    </xf>
    <xf numFmtId="0" fontId="0" fillId="0" borderId="0" xfId="0" applyFill="1"/>
    <xf numFmtId="0" fontId="14" fillId="20" borderId="4" xfId="0" applyFont="1" applyFill="1" applyBorder="1" applyAlignment="1" applyProtection="1">
      <alignment horizontal="center" vertical="center" wrapText="1"/>
      <protection locked="0"/>
    </xf>
    <xf numFmtId="0" fontId="14" fillId="4" borderId="10"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4" fillId="20" borderId="10"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4" fillId="20" borderId="32"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left" vertical="center" wrapText="1"/>
      <protection hidden="1"/>
    </xf>
    <xf numFmtId="0" fontId="14" fillId="20" borderId="52"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indent="7"/>
      <protection hidden="1"/>
    </xf>
    <xf numFmtId="0" fontId="14" fillId="15" borderId="4" xfId="0" applyFont="1" applyFill="1" applyBorder="1" applyAlignment="1">
      <alignment horizontal="center" vertical="center" wrapText="1"/>
    </xf>
    <xf numFmtId="0" fontId="2" fillId="10" borderId="22" xfId="2" applyFont="1" applyFill="1" applyBorder="1" applyAlignment="1" applyProtection="1">
      <alignment horizontal="left" indent="7"/>
      <protection hidden="1"/>
    </xf>
    <xf numFmtId="0" fontId="2" fillId="2" borderId="0" xfId="2" applyFont="1" applyFill="1" applyAlignment="1" applyProtection="1">
      <alignment horizontal="left" vertical="center" indent="5"/>
      <protection hidden="1"/>
    </xf>
    <xf numFmtId="0" fontId="2" fillId="22" borderId="0" xfId="2" applyFont="1" applyFill="1" applyAlignment="1" applyProtection="1">
      <alignment horizontal="left" indent="4"/>
      <protection hidden="1"/>
    </xf>
    <xf numFmtId="0" fontId="2" fillId="22" borderId="30" xfId="2" applyFill="1" applyBorder="1" applyProtection="1">
      <protection hidden="1"/>
    </xf>
    <xf numFmtId="0" fontId="0" fillId="0" borderId="0" xfId="0" applyAlignment="1">
      <alignment vertical="center" wrapText="1"/>
    </xf>
    <xf numFmtId="0" fontId="20" fillId="23" borderId="0" xfId="2" applyFont="1" applyFill="1" applyBorder="1" applyAlignment="1" applyProtection="1">
      <alignment vertical="center"/>
      <protection hidden="1"/>
    </xf>
    <xf numFmtId="0" fontId="21" fillId="33" borderId="0" xfId="2" applyFont="1" applyFill="1" applyBorder="1" applyAlignment="1" applyProtection="1">
      <alignment horizontal="left" vertical="center" indent="6"/>
      <protection hidden="1"/>
    </xf>
    <xf numFmtId="0" fontId="2" fillId="10" borderId="39" xfId="2" quotePrefix="1" applyFont="1" applyFill="1" applyBorder="1" applyAlignment="1" applyProtection="1">
      <alignment horizontal="left" indent="7"/>
      <protection hidden="1"/>
    </xf>
    <xf numFmtId="0" fontId="0" fillId="2" borderId="0" xfId="0" applyFill="1" applyAlignment="1" applyProtection="1">
      <alignment horizontal="left" vertical="top" wrapText="1" indent="1"/>
      <protection hidden="1"/>
    </xf>
    <xf numFmtId="0" fontId="22" fillId="14" borderId="39" xfId="2" applyFont="1" applyFill="1" applyBorder="1" applyAlignment="1" applyProtection="1">
      <alignment horizontal="left" vertical="center" wrapText="1"/>
      <protection hidden="1"/>
    </xf>
    <xf numFmtId="0" fontId="27" fillId="14" borderId="0" xfId="2" applyFont="1" applyFill="1" applyBorder="1" applyAlignment="1" applyProtection="1">
      <alignment horizontal="center" vertical="center" wrapText="1"/>
      <protection hidden="1"/>
    </xf>
    <xf numFmtId="0" fontId="27" fillId="14" borderId="23" xfId="2" applyFont="1" applyFill="1" applyBorder="1" applyAlignment="1" applyProtection="1">
      <alignment horizontal="center" vertical="center" wrapText="1"/>
      <protection hidden="1"/>
    </xf>
    <xf numFmtId="0" fontId="22" fillId="14" borderId="38" xfId="2" applyFont="1" applyFill="1" applyBorder="1" applyAlignment="1" applyProtection="1">
      <alignment horizontal="center" vertical="center" wrapText="1"/>
      <protection hidden="1"/>
    </xf>
    <xf numFmtId="0" fontId="22" fillId="14" borderId="4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5" fillId="16" borderId="3" xfId="2" applyFont="1" applyFill="1" applyBorder="1" applyAlignment="1">
      <alignment horizontal="center" vertical="center" wrapText="1"/>
    </xf>
    <xf numFmtId="0" fontId="13" fillId="13" borderId="7" xfId="0" applyFont="1" applyFill="1" applyBorder="1" applyAlignment="1" applyProtection="1">
      <alignment horizontal="center" vertical="center"/>
      <protection hidden="1"/>
    </xf>
    <xf numFmtId="0" fontId="148" fillId="2" borderId="0" xfId="3" applyFont="1" applyFill="1" applyAlignment="1" applyProtection="1">
      <alignment horizontal="center" vertical="center"/>
      <protection hidden="1"/>
    </xf>
    <xf numFmtId="0" fontId="21" fillId="2" borderId="0" xfId="2" applyFont="1" applyFill="1" applyBorder="1" applyAlignment="1" applyProtection="1">
      <alignment horizontal="left" indent="5"/>
      <protection hidden="1"/>
    </xf>
    <xf numFmtId="166" fontId="14" fillId="20" borderId="28" xfId="0" applyNumberFormat="1"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6" fillId="3" borderId="41"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57" fillId="11" borderId="0" xfId="2" applyFont="1" applyFill="1" applyBorder="1" applyAlignment="1" applyProtection="1">
      <alignment horizontal="left" vertical="center" wrapText="1" indent="1"/>
      <protection hidden="1"/>
    </xf>
    <xf numFmtId="0" fontId="13" fillId="21" borderId="7"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wrapText="1"/>
      <protection hidden="1"/>
    </xf>
    <xf numFmtId="0" fontId="14" fillId="20" borderId="32"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indent="7"/>
      <protection hidden="1"/>
    </xf>
    <xf numFmtId="0" fontId="20" fillId="23" borderId="0" xfId="2" applyFont="1" applyFill="1" applyBorder="1" applyAlignment="1" applyProtection="1">
      <alignment horizontal="left" vertical="center" indent="6"/>
      <protection hidden="1"/>
    </xf>
    <xf numFmtId="0" fontId="2" fillId="10" borderId="0" xfId="2" applyFill="1" applyBorder="1" applyAlignment="1" applyProtection="1">
      <alignment horizontal="left" indent="6"/>
      <protection hidden="1"/>
    </xf>
    <xf numFmtId="0" fontId="2" fillId="10" borderId="40" xfId="2" applyFill="1" applyBorder="1" applyAlignment="1" applyProtection="1">
      <alignment horizontal="left" indent="6"/>
      <protection hidden="1"/>
    </xf>
    <xf numFmtId="0" fontId="2" fillId="4" borderId="4" xfId="0" applyFont="1" applyFill="1" applyBorder="1" applyAlignment="1" applyProtection="1">
      <alignment horizontal="left" vertical="center" wrapText="1"/>
      <protection hidden="1"/>
    </xf>
    <xf numFmtId="0" fontId="75" fillId="15" borderId="4" xfId="0" applyFont="1" applyFill="1" applyBorder="1" applyAlignment="1">
      <alignment horizontal="center" vertical="center" wrapText="1"/>
    </xf>
    <xf numFmtId="0" fontId="13" fillId="6" borderId="7" xfId="0" applyFont="1" applyFill="1" applyBorder="1" applyAlignment="1" applyProtection="1">
      <alignment horizontal="center" vertical="center"/>
      <protection hidden="1"/>
    </xf>
    <xf numFmtId="0" fontId="2" fillId="10" borderId="39" xfId="2" applyFont="1" applyFill="1" applyBorder="1" applyAlignment="1" applyProtection="1">
      <alignment horizontal="left" indent="7"/>
      <protection hidden="1"/>
    </xf>
    <xf numFmtId="0" fontId="2" fillId="10" borderId="22" xfId="2" applyFont="1" applyFill="1" applyBorder="1" applyAlignment="1" applyProtection="1">
      <alignment horizontal="left" indent="7"/>
      <protection hidden="1"/>
    </xf>
    <xf numFmtId="0" fontId="2" fillId="10" borderId="39" xfId="2" applyFont="1" applyFill="1" applyBorder="1" applyAlignment="1" applyProtection="1">
      <alignment horizontal="left" vertical="center" indent="7"/>
      <protection hidden="1"/>
    </xf>
    <xf numFmtId="0" fontId="2" fillId="2" borderId="0" xfId="2" applyFill="1" applyBorder="1" applyAlignment="1" applyProtection="1">
      <alignment horizontal="left" wrapText="1"/>
      <protection hidden="1"/>
    </xf>
    <xf numFmtId="0" fontId="24" fillId="2" borderId="0" xfId="3" applyFill="1" applyAlignment="1" applyProtection="1">
      <alignment vertical="top"/>
      <protection hidden="1"/>
    </xf>
    <xf numFmtId="0" fontId="5" fillId="13" borderId="0" xfId="2" applyFont="1" applyFill="1" applyAlignment="1" applyProtection="1">
      <alignment vertical="center" wrapText="1"/>
      <protection hidden="1"/>
    </xf>
    <xf numFmtId="0" fontId="19" fillId="13" borderId="23" xfId="2" applyFont="1" applyFill="1" applyBorder="1" applyAlignment="1" applyProtection="1">
      <alignment horizontal="center" vertical="center" wrapText="1"/>
      <protection hidden="1"/>
    </xf>
    <xf numFmtId="0" fontId="19" fillId="13" borderId="0" xfId="2" applyFont="1" applyFill="1" applyBorder="1" applyAlignment="1" applyProtection="1">
      <alignment horizontal="center" vertical="center" wrapText="1"/>
      <protection hidden="1"/>
    </xf>
    <xf numFmtId="0" fontId="4" fillId="13" borderId="41" xfId="0" applyFont="1" applyFill="1" applyBorder="1" applyAlignment="1" applyProtection="1">
      <alignment horizontal="center" vertical="center"/>
      <protection hidden="1"/>
    </xf>
    <xf numFmtId="0" fontId="19" fillId="3" borderId="0" xfId="2" applyFont="1" applyFill="1" applyBorder="1" applyAlignment="1" applyProtection="1">
      <alignment horizontal="center" vertical="center" wrapText="1"/>
      <protection hidden="1"/>
    </xf>
    <xf numFmtId="0" fontId="19" fillId="3" borderId="40" xfId="2" applyFont="1" applyFill="1" applyBorder="1" applyAlignment="1" applyProtection="1">
      <alignment horizontal="center" vertical="center" wrapText="1"/>
      <protection hidden="1"/>
    </xf>
    <xf numFmtId="0" fontId="4" fillId="3" borderId="41" xfId="0" applyFont="1" applyFill="1" applyBorder="1" applyAlignment="1" applyProtection="1">
      <alignment horizontal="center" vertical="center"/>
      <protection hidden="1"/>
    </xf>
    <xf numFmtId="0" fontId="100" fillId="3" borderId="60" xfId="6" applyFont="1" applyFill="1" applyBorder="1" applyAlignment="1">
      <alignment horizontal="center" vertical="center"/>
    </xf>
    <xf numFmtId="0" fontId="11" fillId="3" borderId="7" xfId="6" applyFont="1" applyFill="1" applyBorder="1" applyAlignment="1">
      <alignment horizontal="center" vertical="center"/>
    </xf>
    <xf numFmtId="0" fontId="11" fillId="3" borderId="8" xfId="6" applyFont="1" applyFill="1" applyBorder="1" applyAlignment="1">
      <alignment horizontal="center" vertical="center"/>
    </xf>
    <xf numFmtId="0" fontId="11" fillId="3" borderId="7" xfId="6" applyFont="1" applyFill="1" applyBorder="1" applyAlignment="1">
      <alignment horizontal="center" vertical="center" wrapText="1"/>
    </xf>
    <xf numFmtId="0" fontId="19" fillId="13" borderId="24" xfId="2" applyFont="1" applyFill="1" applyBorder="1" applyAlignment="1" applyProtection="1">
      <alignment horizontal="center" vertical="center" wrapText="1"/>
      <protection hidden="1"/>
    </xf>
    <xf numFmtId="0" fontId="11" fillId="13" borderId="53" xfId="0" applyFont="1" applyFill="1" applyBorder="1" applyAlignment="1" applyProtection="1">
      <alignment horizontal="center" vertical="center" wrapText="1"/>
      <protection hidden="1"/>
    </xf>
    <xf numFmtId="0" fontId="11" fillId="13" borderId="88" xfId="0" applyFont="1" applyFill="1" applyBorder="1" applyAlignment="1" applyProtection="1">
      <alignment horizontal="center" vertical="center" wrapText="1"/>
      <protection hidden="1"/>
    </xf>
    <xf numFmtId="0" fontId="11" fillId="13" borderId="7" xfId="0" applyFont="1" applyFill="1" applyBorder="1" applyAlignment="1" applyProtection="1">
      <alignment horizontal="center" vertical="center" wrapText="1"/>
      <protection hidden="1"/>
    </xf>
    <xf numFmtId="0" fontId="123" fillId="3" borderId="36" xfId="3" applyFont="1" applyFill="1" applyBorder="1" applyAlignment="1" applyProtection="1">
      <alignment horizontal="left" vertical="center" wrapText="1"/>
      <protection hidden="1"/>
    </xf>
    <xf numFmtId="0" fontId="21" fillId="2" borderId="0" xfId="2" applyFont="1" applyFill="1" applyBorder="1" applyAlignment="1" applyProtection="1">
      <alignment vertical="center" wrapText="1"/>
      <protection hidden="1"/>
    </xf>
    <xf numFmtId="0" fontId="13" fillId="21" borderId="7" xfId="0" applyFont="1" applyFill="1" applyBorder="1" applyAlignment="1" applyProtection="1">
      <alignment horizontal="center" vertical="center"/>
      <protection hidden="1"/>
    </xf>
    <xf numFmtId="0" fontId="14" fillId="20" borderId="10" xfId="0" applyFont="1" applyFill="1" applyBorder="1" applyAlignment="1" applyProtection="1">
      <alignment horizontal="center" vertical="center" wrapText="1"/>
      <protection locked="0"/>
    </xf>
    <xf numFmtId="166" fontId="14" fillId="4" borderId="4" xfId="0" applyNumberFormat="1"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center" vertical="center"/>
      <protection hidden="1"/>
    </xf>
    <xf numFmtId="0" fontId="2" fillId="23" borderId="0" xfId="2" applyFont="1" applyFill="1" applyBorder="1" applyAlignment="1" applyProtection="1">
      <alignment horizontal="left" vertical="center" indent="6"/>
      <protection hidden="1"/>
    </xf>
    <xf numFmtId="0" fontId="2" fillId="4" borderId="4" xfId="0" applyFont="1" applyFill="1" applyBorder="1" applyAlignment="1" applyProtection="1">
      <alignment horizontal="left" vertical="center" wrapText="1"/>
      <protection hidden="1"/>
    </xf>
    <xf numFmtId="0" fontId="21" fillId="2" borderId="0" xfId="2" applyFont="1" applyFill="1" applyBorder="1" applyAlignment="1" applyProtection="1">
      <alignment horizontal="left" indent="5"/>
      <protection hidden="1"/>
    </xf>
    <xf numFmtId="0" fontId="21" fillId="2" borderId="24" xfId="2" applyFont="1" applyFill="1" applyBorder="1" applyAlignment="1" applyProtection="1">
      <alignment horizontal="center" vertical="center"/>
      <protection hidden="1"/>
    </xf>
    <xf numFmtId="0" fontId="21" fillId="2" borderId="1" xfId="2" applyFont="1" applyFill="1" applyBorder="1" applyAlignment="1" applyProtection="1">
      <alignment horizontal="center" vertical="center"/>
      <protection hidden="1"/>
    </xf>
    <xf numFmtId="0" fontId="13" fillId="6" borderId="30" xfId="0" applyFont="1" applyFill="1" applyBorder="1" applyAlignment="1" applyProtection="1">
      <alignment horizontal="center" vertical="center" wrapText="1"/>
      <protection hidden="1"/>
    </xf>
    <xf numFmtId="0" fontId="13" fillId="6" borderId="29" xfId="0" applyFont="1" applyFill="1" applyBorder="1" applyAlignment="1" applyProtection="1">
      <alignment horizontal="center" vertical="center" wrapText="1"/>
      <protection hidden="1"/>
    </xf>
    <xf numFmtId="0" fontId="13" fillId="6" borderId="33" xfId="0" applyFont="1" applyFill="1" applyBorder="1" applyAlignment="1" applyProtection="1">
      <alignment horizontal="center" vertical="center" wrapText="1"/>
      <protection hidden="1"/>
    </xf>
    <xf numFmtId="0" fontId="99" fillId="2" borderId="3" xfId="0" applyFont="1" applyFill="1" applyBorder="1" applyAlignment="1">
      <alignment horizontal="left" vertical="center" wrapText="1" indent="7"/>
    </xf>
    <xf numFmtId="0" fontId="99" fillId="2" borderId="35" xfId="0" applyFont="1" applyFill="1" applyBorder="1" applyAlignment="1">
      <alignment horizontal="left" vertical="center" wrapText="1" indent="7"/>
    </xf>
    <xf numFmtId="0" fontId="75" fillId="4" borderId="4"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14" fillId="20" borderId="28"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center" vertical="center"/>
      <protection hidden="1"/>
    </xf>
    <xf numFmtId="0" fontId="14" fillId="20" borderId="143" xfId="0"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vertical="center" indent="7"/>
      <protection hidden="1"/>
    </xf>
    <xf numFmtId="0" fontId="2" fillId="4" borderId="4" xfId="0" applyFont="1" applyFill="1" applyBorder="1" applyAlignment="1" applyProtection="1">
      <alignment horizontal="center" vertical="center"/>
      <protection hidden="1"/>
    </xf>
    <xf numFmtId="3" fontId="8" fillId="20" borderId="10" xfId="0" applyNumberFormat="1" applyFont="1" applyFill="1" applyBorder="1" applyAlignment="1" applyProtection="1">
      <alignment horizontal="center" vertical="center"/>
      <protection locked="0"/>
    </xf>
    <xf numFmtId="3" fontId="8" fillId="20" borderId="8" xfId="0" applyNumberFormat="1" applyFont="1" applyFill="1" applyBorder="1" applyAlignment="1" applyProtection="1">
      <alignment horizontal="center" vertical="center"/>
      <protection locked="0"/>
    </xf>
    <xf numFmtId="0" fontId="18" fillId="11" borderId="0" xfId="0" applyFont="1" applyFill="1" applyProtection="1">
      <protection hidden="1"/>
    </xf>
    <xf numFmtId="0" fontId="14" fillId="15" borderId="72" xfId="0" applyFont="1" applyFill="1" applyBorder="1" applyAlignment="1">
      <alignment horizontal="center" vertical="center" wrapText="1"/>
    </xf>
    <xf numFmtId="0" fontId="18" fillId="11" borderId="0" xfId="0" applyFont="1" applyFill="1" applyAlignment="1" applyProtection="1">
      <alignment wrapText="1"/>
      <protection hidden="1"/>
    </xf>
    <xf numFmtId="0" fontId="18" fillId="11" borderId="0" xfId="0" applyFont="1" applyFill="1" applyAlignment="1" applyProtection="1">
      <protection hidden="1"/>
    </xf>
    <xf numFmtId="0" fontId="0" fillId="0" borderId="0" xfId="0" applyAlignment="1">
      <alignment vertical="center"/>
    </xf>
    <xf numFmtId="0" fontId="63" fillId="27" borderId="56" xfId="0" applyFont="1" applyFill="1" applyBorder="1" applyAlignment="1" applyProtection="1">
      <alignment horizontal="left" vertical="center"/>
      <protection locked="0"/>
    </xf>
    <xf numFmtId="0" fontId="63" fillId="27" borderId="13" xfId="0" applyFont="1" applyFill="1" applyBorder="1" applyAlignment="1" applyProtection="1">
      <alignment horizontal="left" vertical="center"/>
      <protection locked="0"/>
    </xf>
    <xf numFmtId="0" fontId="63" fillId="27" borderId="12" xfId="0" applyFont="1" applyFill="1" applyBorder="1" applyAlignment="1" applyProtection="1">
      <alignment horizontal="left" vertical="center"/>
      <protection locked="0"/>
    </xf>
    <xf numFmtId="0" fontId="63" fillId="27" borderId="0" xfId="0" applyFont="1" applyFill="1" applyBorder="1" applyAlignment="1" applyProtection="1">
      <alignment horizontal="left" vertical="center"/>
      <protection locked="0"/>
    </xf>
    <xf numFmtId="0" fontId="63" fillId="27" borderId="14" xfId="0" applyFont="1" applyFill="1" applyBorder="1" applyAlignment="1" applyProtection="1">
      <alignment horizontal="left" vertical="center"/>
      <protection locked="0"/>
    </xf>
    <xf numFmtId="0" fontId="101" fillId="27" borderId="12" xfId="3" applyFont="1" applyFill="1" applyBorder="1" applyAlignment="1" applyProtection="1">
      <alignment horizontal="left" vertical="center"/>
      <protection locked="0"/>
    </xf>
    <xf numFmtId="0" fontId="101" fillId="27" borderId="0" xfId="3" applyFont="1" applyFill="1" applyBorder="1" applyAlignment="1" applyProtection="1">
      <alignment horizontal="left" vertical="center"/>
      <protection locked="0"/>
    </xf>
    <xf numFmtId="0" fontId="2" fillId="27" borderId="59" xfId="0" applyFont="1" applyFill="1" applyBorder="1" applyAlignment="1" applyProtection="1">
      <alignment horizontal="left" vertical="center" indent="1"/>
      <protection locked="0"/>
    </xf>
    <xf numFmtId="0" fontId="2" fillId="27" borderId="14" xfId="0" applyFont="1" applyFill="1" applyBorder="1" applyAlignment="1" applyProtection="1">
      <alignment horizontal="left" vertical="center" indent="1"/>
      <protection locked="0"/>
    </xf>
    <xf numFmtId="0" fontId="2" fillId="27" borderId="58" xfId="0" applyFont="1" applyFill="1" applyBorder="1" applyAlignment="1" applyProtection="1">
      <alignment horizontal="left" vertical="center" indent="1"/>
      <protection locked="0"/>
    </xf>
    <xf numFmtId="0" fontId="36" fillId="25" borderId="0" xfId="0" applyFont="1" applyFill="1" applyBorder="1" applyAlignment="1" applyProtection="1">
      <alignment horizontal="center" vertical="center" wrapText="1"/>
      <protection hidden="1"/>
    </xf>
    <xf numFmtId="0" fontId="180" fillId="11" borderId="0" xfId="0" applyFont="1" applyFill="1" applyProtection="1">
      <protection hidden="1"/>
    </xf>
    <xf numFmtId="0" fontId="194" fillId="4" borderId="56" xfId="3" applyFont="1" applyFill="1" applyBorder="1" applyAlignment="1" applyProtection="1">
      <alignment horizontal="center" vertical="center"/>
      <protection hidden="1"/>
    </xf>
    <xf numFmtId="0" fontId="44" fillId="8" borderId="56" xfId="0" applyFont="1" applyFill="1" applyBorder="1" applyAlignment="1" applyProtection="1">
      <alignment vertical="center" wrapText="1"/>
      <protection hidden="1"/>
    </xf>
    <xf numFmtId="0" fontId="44" fillId="8" borderId="97" xfId="0" applyFont="1" applyFill="1" applyBorder="1" applyAlignment="1" applyProtection="1">
      <alignment vertical="center" wrapText="1"/>
      <protection hidden="1"/>
    </xf>
    <xf numFmtId="0" fontId="44" fillId="16" borderId="97" xfId="0" applyFont="1" applyFill="1" applyBorder="1" applyAlignment="1" applyProtection="1">
      <alignment vertical="center" wrapText="1"/>
      <protection hidden="1"/>
    </xf>
    <xf numFmtId="0" fontId="44" fillId="16" borderId="56" xfId="0" applyFont="1" applyFill="1" applyBorder="1" applyAlignment="1" applyProtection="1">
      <alignment vertical="center" wrapText="1"/>
      <protection hidden="1"/>
    </xf>
    <xf numFmtId="0" fontId="44" fillId="26" borderId="97" xfId="0" applyFont="1" applyFill="1" applyBorder="1" applyAlignment="1" applyProtection="1">
      <alignment vertical="center" wrapText="1"/>
      <protection hidden="1"/>
    </xf>
    <xf numFmtId="0" fontId="44" fillId="26" borderId="56" xfId="0" applyFont="1" applyFill="1" applyBorder="1" applyAlignment="1" applyProtection="1">
      <alignment vertical="center" wrapText="1"/>
      <protection hidden="1"/>
    </xf>
    <xf numFmtId="0" fontId="44" fillId="6" borderId="57" xfId="0" applyFont="1" applyFill="1" applyBorder="1" applyAlignment="1" applyProtection="1">
      <alignment vertical="center" wrapText="1"/>
      <protection hidden="1"/>
    </xf>
    <xf numFmtId="0" fontId="44" fillId="6" borderId="56" xfId="0" applyFont="1" applyFill="1" applyBorder="1" applyAlignment="1" applyProtection="1">
      <alignment vertical="center" wrapText="1"/>
      <protection hidden="1"/>
    </xf>
    <xf numFmtId="0" fontId="44" fillId="6" borderId="13" xfId="0" applyFont="1" applyFill="1" applyBorder="1" applyAlignment="1" applyProtection="1">
      <alignment vertical="center" wrapText="1"/>
      <protection hidden="1"/>
    </xf>
    <xf numFmtId="0" fontId="44" fillId="3" borderId="2" xfId="0" applyFont="1" applyFill="1" applyBorder="1" applyAlignment="1" applyProtection="1">
      <alignment vertical="center" wrapText="1"/>
      <protection hidden="1"/>
    </xf>
    <xf numFmtId="0" fontId="44" fillId="5" borderId="2" xfId="0" applyFont="1" applyFill="1" applyBorder="1" applyAlignment="1" applyProtection="1">
      <alignment vertical="center" wrapText="1"/>
      <protection hidden="1"/>
    </xf>
    <xf numFmtId="0" fontId="44" fillId="5" borderId="57" xfId="0" applyFont="1" applyFill="1" applyBorder="1" applyAlignment="1" applyProtection="1">
      <alignment vertical="center" wrapText="1"/>
      <protection hidden="1"/>
    </xf>
    <xf numFmtId="0" fontId="44" fillId="5" borderId="98" xfId="0" applyFont="1" applyFill="1" applyBorder="1" applyAlignment="1" applyProtection="1">
      <alignment vertical="center" wrapText="1"/>
      <protection hidden="1"/>
    </xf>
    <xf numFmtId="0" fontId="44" fillId="7" borderId="58" xfId="0" applyFont="1" applyFill="1" applyBorder="1" applyAlignment="1" applyProtection="1">
      <alignment vertical="center" wrapText="1"/>
      <protection hidden="1"/>
    </xf>
    <xf numFmtId="0" fontId="44" fillId="7" borderId="56" xfId="0" applyFont="1" applyFill="1" applyBorder="1" applyAlignment="1" applyProtection="1">
      <alignment vertical="center" wrapText="1"/>
      <protection hidden="1"/>
    </xf>
    <xf numFmtId="0" fontId="36" fillId="25" borderId="14" xfId="0" applyFont="1" applyFill="1" applyBorder="1" applyAlignment="1" applyProtection="1">
      <alignment vertical="center"/>
      <protection hidden="1"/>
    </xf>
    <xf numFmtId="0" fontId="150" fillId="23" borderId="0" xfId="2" applyFont="1" applyFill="1" applyAlignment="1" applyProtection="1">
      <alignment horizontal="left" vertical="center" indent="1"/>
      <protection hidden="1"/>
    </xf>
    <xf numFmtId="0" fontId="150" fillId="22" borderId="0" xfId="2" applyFont="1" applyFill="1" applyAlignment="1" applyProtection="1">
      <alignment horizontal="left" vertical="center" indent="1"/>
      <protection hidden="1"/>
    </xf>
    <xf numFmtId="0" fontId="150" fillId="27" borderId="0" xfId="2" applyFont="1" applyFill="1" applyAlignment="1" applyProtection="1">
      <alignment horizontal="left" vertical="center" indent="1"/>
      <protection hidden="1"/>
    </xf>
    <xf numFmtId="0" fontId="150" fillId="24" borderId="0" xfId="2" applyFont="1" applyFill="1" applyAlignment="1" applyProtection="1">
      <alignment horizontal="left" vertical="center" indent="1"/>
      <protection hidden="1"/>
    </xf>
    <xf numFmtId="0" fontId="2" fillId="23" borderId="0" xfId="2" quotePrefix="1" applyFill="1" applyBorder="1" applyAlignment="1" applyProtection="1">
      <alignment wrapText="1"/>
      <protection hidden="1"/>
    </xf>
    <xf numFmtId="0" fontId="11" fillId="5" borderId="7" xfId="2" applyFont="1" applyFill="1" applyBorder="1" applyAlignment="1" applyProtection="1">
      <alignment horizontal="left" vertical="center" indent="1"/>
      <protection hidden="1"/>
    </xf>
    <xf numFmtId="0" fontId="11" fillId="5" borderId="8" xfId="2" applyFont="1" applyFill="1" applyBorder="1" applyAlignment="1" applyProtection="1">
      <alignment horizontal="left" vertical="center" indent="1"/>
      <protection hidden="1"/>
    </xf>
    <xf numFmtId="0" fontId="2" fillId="4" borderId="4" xfId="0" applyFont="1" applyFill="1" applyBorder="1" applyAlignment="1" applyProtection="1">
      <alignment horizontal="left" vertical="center" wrapText="1"/>
      <protection hidden="1"/>
    </xf>
    <xf numFmtId="0" fontId="123" fillId="13" borderId="76" xfId="3" applyFont="1" applyFill="1" applyBorder="1" applyAlignment="1" applyProtection="1">
      <alignment horizontal="left" vertical="center" wrapText="1"/>
      <protection hidden="1"/>
    </xf>
    <xf numFmtId="0" fontId="123" fillId="13" borderId="77" xfId="3" applyFont="1" applyFill="1" applyBorder="1" applyAlignment="1" applyProtection="1">
      <alignment horizontal="left" vertical="center" wrapText="1"/>
      <protection hidden="1"/>
    </xf>
    <xf numFmtId="0" fontId="2" fillId="4" borderId="4" xfId="0" applyFont="1" applyFill="1" applyBorder="1" applyAlignment="1" applyProtection="1">
      <alignment horizontal="center" vertical="center" wrapText="1"/>
      <protection hidden="1"/>
    </xf>
    <xf numFmtId="0" fontId="24" fillId="14" borderId="36" xfId="3" applyFill="1" applyBorder="1" applyAlignment="1" applyProtection="1">
      <alignment horizontal="left" vertical="center" wrapText="1"/>
      <protection hidden="1"/>
    </xf>
    <xf numFmtId="0" fontId="24" fillId="14" borderId="22" xfId="3" applyFill="1" applyBorder="1" applyAlignment="1" applyProtection="1">
      <alignment horizontal="left" vertical="center" wrapText="1"/>
      <protection hidden="1"/>
    </xf>
    <xf numFmtId="0" fontId="24" fillId="14" borderId="39" xfId="3" applyFill="1" applyBorder="1" applyAlignment="1" applyProtection="1">
      <alignment horizontal="left" vertical="center" wrapText="1"/>
      <protection hidden="1"/>
    </xf>
    <xf numFmtId="0" fontId="24" fillId="14" borderId="76" xfId="3" applyFill="1" applyBorder="1" applyAlignment="1" applyProtection="1">
      <alignment horizontal="center" vertical="center" wrapText="1"/>
      <protection hidden="1"/>
    </xf>
    <xf numFmtId="0" fontId="24" fillId="14" borderId="87" xfId="3" applyFill="1" applyBorder="1" applyAlignment="1" applyProtection="1">
      <alignment horizontal="center" vertical="center" wrapText="1"/>
      <protection hidden="1"/>
    </xf>
    <xf numFmtId="0" fontId="123" fillId="13" borderId="87" xfId="3" applyFont="1" applyFill="1" applyBorder="1" applyAlignment="1" applyProtection="1">
      <alignment horizontal="left" vertical="center" wrapText="1"/>
      <protection hidden="1"/>
    </xf>
    <xf numFmtId="0" fontId="123" fillId="6" borderId="36" xfId="3" applyFont="1" applyFill="1" applyBorder="1" applyAlignment="1" applyProtection="1">
      <alignment horizontal="left" vertical="center" wrapText="1"/>
      <protection hidden="1"/>
    </xf>
    <xf numFmtId="0" fontId="123" fillId="6" borderId="39" xfId="3" applyFont="1" applyFill="1" applyBorder="1" applyAlignment="1" applyProtection="1">
      <alignment horizontal="left" vertical="center" wrapText="1"/>
      <protection hidden="1"/>
    </xf>
    <xf numFmtId="0" fontId="123" fillId="6" borderId="22" xfId="3" applyFont="1" applyFill="1" applyBorder="1" applyAlignment="1" applyProtection="1">
      <alignment horizontal="left" vertical="center" wrapText="1"/>
      <protection hidden="1"/>
    </xf>
    <xf numFmtId="0" fontId="123" fillId="3" borderId="36" xfId="3" applyFont="1" applyFill="1" applyBorder="1" applyAlignment="1" applyProtection="1">
      <alignment horizontal="left" vertical="center" wrapText="1"/>
      <protection hidden="1"/>
    </xf>
    <xf numFmtId="0" fontId="123" fillId="3" borderId="22" xfId="3" applyFont="1" applyFill="1" applyBorder="1" applyAlignment="1" applyProtection="1">
      <alignment horizontal="left" vertical="center" wrapText="1"/>
      <protection hidden="1"/>
    </xf>
    <xf numFmtId="0" fontId="24" fillId="14" borderId="76" xfId="3" applyFill="1" applyBorder="1" applyAlignment="1" applyProtection="1">
      <alignment horizontal="left" vertical="center" wrapText="1"/>
      <protection hidden="1"/>
    </xf>
    <xf numFmtId="0" fontId="24" fillId="14" borderId="77" xfId="3" applyFill="1" applyBorder="1" applyAlignment="1" applyProtection="1">
      <alignment horizontal="left" vertical="center" wrapText="1"/>
      <protection hidden="1"/>
    </xf>
    <xf numFmtId="0" fontId="2" fillId="4" borderId="10" xfId="0" applyFont="1" applyFill="1" applyBorder="1" applyAlignment="1" applyProtection="1">
      <alignment horizontal="center" vertical="center" wrapText="1"/>
      <protection hidden="1"/>
    </xf>
    <xf numFmtId="0" fontId="2" fillId="4" borderId="7" xfId="0" applyFont="1" applyFill="1" applyBorder="1" applyAlignment="1" applyProtection="1">
      <alignment horizontal="center" vertical="center" wrapText="1"/>
      <protection hidden="1"/>
    </xf>
    <xf numFmtId="0" fontId="2" fillId="4" borderId="8" xfId="0" applyFont="1" applyFill="1" applyBorder="1" applyAlignment="1" applyProtection="1">
      <alignment horizontal="center" vertical="center" wrapText="1"/>
      <protection hidden="1"/>
    </xf>
    <xf numFmtId="0" fontId="123" fillId="3" borderId="76" xfId="3" applyFont="1" applyFill="1" applyBorder="1" applyAlignment="1" applyProtection="1">
      <alignment horizontal="left" vertical="center" wrapText="1"/>
      <protection hidden="1"/>
    </xf>
    <xf numFmtId="0" fontId="123" fillId="3" borderId="87" xfId="3" applyFont="1" applyFill="1" applyBorder="1" applyAlignment="1" applyProtection="1">
      <alignment horizontal="left" vertical="center" wrapText="1"/>
      <protection hidden="1"/>
    </xf>
    <xf numFmtId="0" fontId="123" fillId="3" borderId="77" xfId="3" applyFont="1" applyFill="1" applyBorder="1" applyAlignment="1" applyProtection="1">
      <alignment horizontal="left" vertical="center" wrapText="1"/>
      <protection hidden="1"/>
    </xf>
    <xf numFmtId="0" fontId="24" fillId="6" borderId="36" xfId="3" applyFill="1" applyBorder="1" applyAlignment="1" applyProtection="1">
      <alignment horizontal="left" vertical="center" wrapText="1"/>
      <protection hidden="1"/>
    </xf>
    <xf numFmtId="0" fontId="24" fillId="6" borderId="22" xfId="3" applyFill="1" applyBorder="1" applyAlignment="1" applyProtection="1">
      <alignment horizontal="left" vertical="center" wrapText="1"/>
      <protection hidden="1"/>
    </xf>
    <xf numFmtId="0" fontId="123" fillId="6" borderId="76" xfId="3" applyFont="1" applyFill="1" applyBorder="1" applyAlignment="1" applyProtection="1">
      <alignment horizontal="left" vertical="center" wrapText="1"/>
      <protection hidden="1"/>
    </xf>
    <xf numFmtId="0" fontId="123" fillId="6" borderId="77" xfId="3" applyFont="1" applyFill="1" applyBorder="1" applyAlignment="1" applyProtection="1">
      <alignment horizontal="left" vertical="center" wrapText="1"/>
      <protection hidden="1"/>
    </xf>
    <xf numFmtId="0" fontId="123" fillId="3" borderId="39" xfId="3" applyFont="1" applyFill="1" applyBorder="1" applyAlignment="1" applyProtection="1">
      <alignment horizontal="left" vertical="center" wrapText="1"/>
      <protection hidden="1"/>
    </xf>
    <xf numFmtId="0" fontId="123" fillId="6" borderId="87" xfId="3" applyFont="1" applyFill="1" applyBorder="1" applyAlignment="1" applyProtection="1">
      <alignment horizontal="left" vertical="center" wrapText="1"/>
      <protection hidden="1"/>
    </xf>
    <xf numFmtId="0" fontId="0" fillId="7" borderId="0" xfId="0" applyFill="1" applyAlignment="1">
      <alignment horizontal="center"/>
    </xf>
    <xf numFmtId="0" fontId="24" fillId="14" borderId="77" xfId="3" applyFill="1" applyBorder="1" applyAlignment="1" applyProtection="1">
      <alignment horizontal="center" vertical="center" wrapText="1"/>
      <protection hidden="1"/>
    </xf>
    <xf numFmtId="0" fontId="55" fillId="11" borderId="0" xfId="0" applyFont="1" applyFill="1" applyAlignment="1" applyProtection="1">
      <alignment horizontal="left" indent="1"/>
      <protection hidden="1"/>
    </xf>
    <xf numFmtId="0" fontId="176" fillId="11" borderId="0" xfId="0" applyFont="1" applyFill="1" applyAlignment="1" applyProtection="1">
      <alignment horizontal="center" vertical="top"/>
      <protection hidden="1"/>
    </xf>
    <xf numFmtId="0" fontId="173" fillId="11" borderId="0" xfId="0" applyFont="1" applyFill="1" applyAlignment="1" applyProtection="1">
      <alignment horizontal="center"/>
      <protection hidden="1"/>
    </xf>
    <xf numFmtId="0" fontId="180" fillId="11" borderId="0" xfId="0" applyFont="1" applyFill="1" applyBorder="1" applyAlignment="1">
      <alignment horizontal="justify" vertical="center" wrapText="1"/>
    </xf>
    <xf numFmtId="0" fontId="14" fillId="11" borderId="0" xfId="0" applyFont="1" applyFill="1" applyAlignment="1">
      <alignment horizontal="left" vertical="center" wrapText="1"/>
    </xf>
    <xf numFmtId="0" fontId="9" fillId="5" borderId="0" xfId="0" applyFont="1" applyFill="1" applyBorder="1" applyAlignment="1" applyProtection="1">
      <alignment horizontal="left" vertical="center" indent="1"/>
      <protection hidden="1"/>
    </xf>
    <xf numFmtId="0" fontId="5" fillId="5" borderId="0" xfId="0" applyFont="1" applyFill="1" applyAlignment="1" applyProtection="1">
      <alignment horizontal="left" vertical="center" indent="1"/>
      <protection hidden="1"/>
    </xf>
    <xf numFmtId="0" fontId="0" fillId="2" borderId="0" xfId="0" applyFill="1" applyAlignment="1" applyProtection="1">
      <alignment horizontal="left" vertical="top" wrapText="1" indent="1"/>
      <protection hidden="1"/>
    </xf>
    <xf numFmtId="0" fontId="0" fillId="2" borderId="0" xfId="0" applyFont="1" applyFill="1" applyAlignment="1" applyProtection="1">
      <alignment horizontal="left" indent="1"/>
      <protection hidden="1"/>
    </xf>
    <xf numFmtId="0" fontId="0" fillId="2" borderId="0" xfId="0" applyFont="1" applyFill="1" applyAlignment="1" applyProtection="1">
      <alignment horizontal="left" vertical="top" wrapText="1" indent="1"/>
      <protection hidden="1"/>
    </xf>
    <xf numFmtId="0" fontId="0" fillId="2" borderId="0" xfId="0" applyFill="1" applyAlignment="1" applyProtection="1">
      <alignment horizontal="left" vertical="top" wrapText="1" indent="3"/>
      <protection hidden="1"/>
    </xf>
    <xf numFmtId="0" fontId="0" fillId="2" borderId="0" xfId="0" applyFill="1" applyAlignment="1" applyProtection="1">
      <alignment horizontal="left" vertical="top" wrapText="1" indent="2"/>
      <protection hidden="1"/>
    </xf>
    <xf numFmtId="0" fontId="0" fillId="2" borderId="0" xfId="0" applyFill="1" applyBorder="1" applyAlignment="1">
      <alignment horizontal="left" vertical="center" wrapText="1" indent="1"/>
    </xf>
    <xf numFmtId="0" fontId="0" fillId="2" borderId="0" xfId="0" applyFont="1" applyFill="1" applyBorder="1" applyAlignment="1">
      <alignment horizontal="left" vertical="center" wrapText="1" indent="1"/>
    </xf>
    <xf numFmtId="0" fontId="170" fillId="2" borderId="0" xfId="0" applyFont="1" applyFill="1" applyAlignment="1" applyProtection="1">
      <alignment horizontal="left" vertical="top" wrapText="1"/>
      <protection hidden="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ill="1" applyBorder="1" applyAlignment="1">
      <alignment horizontal="justify" vertical="center" wrapText="1"/>
    </xf>
    <xf numFmtId="0" fontId="71" fillId="2" borderId="0" xfId="0" applyFont="1" applyFill="1" applyBorder="1" applyAlignment="1">
      <alignment horizontal="justify" vertical="center" wrapText="1"/>
    </xf>
    <xf numFmtId="0" fontId="170" fillId="2" borderId="0" xfId="0" applyFont="1" applyFill="1" applyAlignment="1" applyProtection="1">
      <alignment horizontal="left" wrapText="1"/>
      <protection hidden="1"/>
    </xf>
    <xf numFmtId="0" fontId="0" fillId="2" borderId="0" xfId="0" applyFill="1" applyAlignment="1" applyProtection="1">
      <alignment horizontal="left" vertical="top" wrapText="1"/>
      <protection hidden="1"/>
    </xf>
    <xf numFmtId="0" fontId="41" fillId="2" borderId="0" xfId="0" applyFont="1" applyFill="1" applyAlignment="1" applyProtection="1">
      <alignment horizontal="left" vertical="top" wrapText="1" indent="2"/>
      <protection hidden="1"/>
    </xf>
    <xf numFmtId="0" fontId="124" fillId="5" borderId="0" xfId="0" applyFont="1" applyFill="1" applyBorder="1" applyAlignment="1" applyProtection="1">
      <alignment horizontal="left" vertical="center" indent="1"/>
      <protection hidden="1"/>
    </xf>
    <xf numFmtId="0" fontId="68" fillId="5" borderId="0" xfId="0" applyFont="1" applyFill="1" applyBorder="1" applyAlignment="1" applyProtection="1">
      <alignment horizontal="left" vertical="center" indent="1"/>
      <protection hidden="1"/>
    </xf>
    <xf numFmtId="0" fontId="110" fillId="5" borderId="0" xfId="0" applyFont="1" applyFill="1" applyAlignment="1" applyProtection="1">
      <alignment horizontal="left"/>
      <protection hidden="1"/>
    </xf>
    <xf numFmtId="0" fontId="88" fillId="2" borderId="0" xfId="0" applyFont="1" applyFill="1" applyAlignment="1" applyProtection="1">
      <alignment horizontal="left" vertical="center" wrapText="1"/>
      <protection hidden="1"/>
    </xf>
    <xf numFmtId="0" fontId="126" fillId="5" borderId="0" xfId="0" applyFont="1" applyFill="1" applyBorder="1" applyAlignment="1" applyProtection="1">
      <alignment horizontal="center" vertical="center"/>
      <protection hidden="1"/>
    </xf>
    <xf numFmtId="0" fontId="24" fillId="5" borderId="0" xfId="3" applyFont="1" applyFill="1" applyAlignment="1" applyProtection="1">
      <alignment horizontal="left"/>
      <protection hidden="1"/>
    </xf>
    <xf numFmtId="0" fontId="0" fillId="2" borderId="0" xfId="0" applyFill="1" applyAlignment="1" applyProtection="1">
      <alignment horizontal="left" vertical="top"/>
      <protection hidden="1"/>
    </xf>
    <xf numFmtId="0" fontId="0" fillId="2" borderId="0" xfId="0" applyFill="1" applyAlignment="1" applyProtection="1">
      <alignment horizontal="left" vertical="center" wrapText="1" indent="1"/>
      <protection hidden="1"/>
    </xf>
    <xf numFmtId="0" fontId="173" fillId="2" borderId="0" xfId="0" applyFont="1" applyFill="1" applyAlignment="1" applyProtection="1">
      <alignment horizontal="left" wrapText="1" indent="1"/>
      <protection hidden="1"/>
    </xf>
    <xf numFmtId="0" fontId="170" fillId="2" borderId="0" xfId="0" applyFont="1" applyFill="1" applyAlignment="1" applyProtection="1">
      <alignment horizontal="left" vertical="center" wrapText="1"/>
      <protection hidden="1"/>
    </xf>
    <xf numFmtId="0" fontId="170" fillId="2" borderId="0" xfId="0" applyFont="1" applyFill="1" applyAlignment="1" applyProtection="1">
      <alignment horizontal="left"/>
      <protection hidden="1"/>
    </xf>
    <xf numFmtId="0" fontId="136" fillId="5" borderId="7" xfId="0" applyFont="1" applyFill="1" applyBorder="1" applyAlignment="1">
      <alignment horizontal="center" vertical="center"/>
    </xf>
    <xf numFmtId="0" fontId="136" fillId="5" borderId="8" xfId="0" applyFont="1" applyFill="1" applyBorder="1" applyAlignment="1">
      <alignment horizontal="center" vertical="center"/>
    </xf>
    <xf numFmtId="0" fontId="2" fillId="10" borderId="29" xfId="0" applyFont="1" applyFill="1" applyBorder="1" applyAlignment="1">
      <alignment horizontal="center" vertical="center"/>
    </xf>
    <xf numFmtId="0" fontId="2" fillId="10" borderId="30" xfId="0" applyFont="1" applyFill="1" applyBorder="1" applyAlignment="1">
      <alignment horizontal="center" vertical="center"/>
    </xf>
    <xf numFmtId="0" fontId="136" fillId="5" borderId="10" xfId="0" applyFont="1" applyFill="1" applyBorder="1" applyAlignment="1">
      <alignment horizontal="center" vertical="center"/>
    </xf>
    <xf numFmtId="0" fontId="2" fillId="10" borderId="35"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31" xfId="0" applyFont="1" applyFill="1" applyBorder="1" applyAlignment="1">
      <alignment horizontal="center" vertical="center"/>
    </xf>
    <xf numFmtId="0" fontId="142" fillId="2" borderId="0" xfId="0" applyFont="1" applyFill="1" applyAlignment="1" applyProtection="1">
      <alignment horizontal="left"/>
      <protection hidden="1"/>
    </xf>
    <xf numFmtId="0" fontId="128" fillId="5" borderId="0" xfId="0" applyFont="1" applyFill="1" applyBorder="1" applyAlignment="1" applyProtection="1">
      <alignment horizontal="center" vertical="center"/>
      <protection hidden="1"/>
    </xf>
    <xf numFmtId="0" fontId="123" fillId="5" borderId="0" xfId="0" applyFont="1" applyFill="1" applyAlignment="1" applyProtection="1">
      <alignment horizontal="left"/>
      <protection hidden="1"/>
    </xf>
    <xf numFmtId="0" fontId="71" fillId="10" borderId="36" xfId="0" applyFont="1" applyFill="1" applyBorder="1" applyAlignment="1" applyProtection="1">
      <alignment horizontal="left" vertical="center" indent="1"/>
      <protection hidden="1"/>
    </xf>
    <xf numFmtId="0" fontId="71" fillId="10" borderId="37" xfId="0" applyFont="1" applyFill="1" applyBorder="1" applyAlignment="1" applyProtection="1">
      <alignment horizontal="left" vertical="center" indent="1"/>
      <protection hidden="1"/>
    </xf>
    <xf numFmtId="0" fontId="71" fillId="10" borderId="38" xfId="0" applyFont="1" applyFill="1" applyBorder="1" applyAlignment="1" applyProtection="1">
      <alignment horizontal="left" vertical="center" indent="1"/>
      <protection hidden="1"/>
    </xf>
    <xf numFmtId="0" fontId="71" fillId="10" borderId="39" xfId="0" applyFont="1" applyFill="1" applyBorder="1" applyAlignment="1" applyProtection="1">
      <alignment horizontal="left" vertical="center" indent="2"/>
      <protection hidden="1"/>
    </xf>
    <xf numFmtId="0" fontId="71" fillId="10" borderId="0" xfId="0" applyFont="1" applyFill="1" applyBorder="1" applyAlignment="1" applyProtection="1">
      <alignment horizontal="left" vertical="center" indent="2"/>
      <protection hidden="1"/>
    </xf>
    <xf numFmtId="0" fontId="71" fillId="10" borderId="40" xfId="0" applyFont="1" applyFill="1" applyBorder="1" applyAlignment="1" applyProtection="1">
      <alignment horizontal="left" vertical="center" indent="2"/>
      <protection hidden="1"/>
    </xf>
    <xf numFmtId="0" fontId="48" fillId="10" borderId="22" xfId="0" applyFont="1" applyFill="1" applyBorder="1" applyAlignment="1" applyProtection="1">
      <alignment horizontal="left" vertical="center" indent="2"/>
      <protection hidden="1"/>
    </xf>
    <xf numFmtId="0" fontId="71" fillId="10" borderId="23" xfId="0" applyFont="1" applyFill="1" applyBorder="1" applyAlignment="1" applyProtection="1">
      <alignment horizontal="left" vertical="center" indent="2"/>
      <protection hidden="1"/>
    </xf>
    <xf numFmtId="0" fontId="71" fillId="10" borderId="24" xfId="0" applyFont="1" applyFill="1" applyBorder="1" applyAlignment="1" applyProtection="1">
      <alignment horizontal="left" vertical="center" indent="2"/>
      <protection hidden="1"/>
    </xf>
    <xf numFmtId="0" fontId="71" fillId="10" borderId="28" xfId="0" applyFont="1" applyFill="1" applyBorder="1" applyAlignment="1">
      <alignment horizontal="left" vertical="center" wrapText="1" indent="2"/>
    </xf>
    <xf numFmtId="3" fontId="114" fillId="20" borderId="4" xfId="0" applyNumberFormat="1" applyFont="1" applyFill="1" applyBorder="1" applyAlignment="1" applyProtection="1">
      <alignment horizontal="center" vertical="center"/>
      <protection locked="0"/>
    </xf>
    <xf numFmtId="0" fontId="129" fillId="10" borderId="0" xfId="2" applyFont="1" applyFill="1" applyBorder="1" applyAlignment="1">
      <alignment horizontal="left" vertical="center" indent="7"/>
    </xf>
    <xf numFmtId="0" fontId="171" fillId="10" borderId="0" xfId="2" applyFont="1" applyFill="1" applyBorder="1" applyAlignment="1">
      <alignment horizontal="center" vertical="center"/>
    </xf>
    <xf numFmtId="0" fontId="71" fillId="10" borderId="49" xfId="0" applyFont="1" applyFill="1" applyBorder="1" applyAlignment="1">
      <alignment horizontal="left" vertical="center" wrapText="1" indent="2"/>
    </xf>
    <xf numFmtId="0" fontId="71" fillId="10" borderId="4" xfId="0" applyFont="1" applyFill="1" applyBorder="1" applyAlignment="1">
      <alignment horizontal="left" vertical="center" wrapText="1" indent="1"/>
    </xf>
    <xf numFmtId="0" fontId="71" fillId="10" borderId="29" xfId="0" applyFont="1" applyFill="1" applyBorder="1" applyAlignment="1">
      <alignment horizontal="left" vertical="center" wrapText="1" indent="1"/>
    </xf>
    <xf numFmtId="0" fontId="71" fillId="10" borderId="30" xfId="0" applyFont="1" applyFill="1" applyBorder="1" applyAlignment="1">
      <alignment horizontal="left" vertical="center" wrapText="1" indent="1"/>
    </xf>
    <xf numFmtId="0" fontId="71" fillId="10" borderId="31" xfId="0" applyFont="1" applyFill="1" applyBorder="1" applyAlignment="1">
      <alignment horizontal="left" vertical="center" wrapText="1" indent="1"/>
    </xf>
    <xf numFmtId="3" fontId="114" fillId="4" borderId="4" xfId="0" applyNumberFormat="1" applyFont="1" applyFill="1" applyBorder="1" applyAlignment="1" applyProtection="1">
      <alignment horizontal="center" vertical="center"/>
      <protection hidden="1"/>
    </xf>
    <xf numFmtId="0" fontId="77" fillId="5" borderId="0" xfId="0" applyFont="1" applyFill="1" applyBorder="1" applyAlignment="1" applyProtection="1">
      <alignment horizontal="left" vertical="center" indent="1"/>
      <protection hidden="1"/>
    </xf>
    <xf numFmtId="0" fontId="71" fillId="10" borderId="4" xfId="0" applyFont="1" applyFill="1" applyBorder="1" applyAlignment="1">
      <alignment horizontal="left" vertical="center" wrapText="1"/>
    </xf>
    <xf numFmtId="0" fontId="18" fillId="15" borderId="103" xfId="0" applyFont="1" applyFill="1" applyBorder="1" applyAlignment="1" applyProtection="1">
      <alignment horizontal="left" vertical="center" wrapText="1"/>
      <protection hidden="1"/>
    </xf>
    <xf numFmtId="0" fontId="18" fillId="15" borderId="31" xfId="0" applyFont="1" applyFill="1" applyBorder="1" applyAlignment="1" applyProtection="1">
      <alignment horizontal="left" vertical="center" wrapText="1"/>
      <protection hidden="1"/>
    </xf>
    <xf numFmtId="0" fontId="18" fillId="20" borderId="0" xfId="0" applyFont="1" applyFill="1" applyBorder="1" applyAlignment="1" applyProtection="1">
      <alignment horizontal="left" vertical="center" wrapText="1"/>
      <protection locked="0" hidden="1"/>
    </xf>
    <xf numFmtId="0" fontId="18" fillId="20" borderId="71" xfId="0" applyFont="1" applyFill="1" applyBorder="1" applyAlignment="1" applyProtection="1">
      <alignment horizontal="left" vertical="center" wrapText="1"/>
      <protection locked="0" hidden="1"/>
    </xf>
    <xf numFmtId="0" fontId="158" fillId="5" borderId="0" xfId="0" applyFont="1" applyFill="1" applyAlignment="1" applyProtection="1">
      <alignment horizontal="left" vertical="center" indent="1"/>
      <protection hidden="1"/>
    </xf>
    <xf numFmtId="0" fontId="177" fillId="0" borderId="0" xfId="0" applyFont="1" applyAlignment="1" applyProtection="1">
      <alignment horizontal="left" vertical="top" indent="1"/>
      <protection hidden="1"/>
    </xf>
    <xf numFmtId="0" fontId="160" fillId="5" borderId="17" xfId="0" applyFont="1" applyFill="1" applyBorder="1" applyAlignment="1" applyProtection="1">
      <alignment horizontal="left" vertical="center" wrapText="1"/>
      <protection hidden="1"/>
    </xf>
    <xf numFmtId="0" fontId="160" fillId="5" borderId="99" xfId="0" applyFont="1" applyFill="1" applyBorder="1" applyAlignment="1" applyProtection="1">
      <alignment horizontal="left" vertical="center" wrapText="1"/>
      <protection hidden="1"/>
    </xf>
    <xf numFmtId="0" fontId="160" fillId="5" borderId="69" xfId="0" applyFont="1" applyFill="1" applyBorder="1" applyAlignment="1" applyProtection="1">
      <alignment horizontal="left" vertical="center" wrapText="1"/>
      <protection hidden="1"/>
    </xf>
    <xf numFmtId="0" fontId="18" fillId="15" borderId="74" xfId="0" applyFont="1" applyFill="1" applyBorder="1" applyAlignment="1" applyProtection="1">
      <alignment horizontal="left" vertical="center" wrapText="1"/>
      <protection hidden="1"/>
    </xf>
    <xf numFmtId="0" fontId="18" fillId="15" borderId="100" xfId="0" applyFont="1" applyFill="1" applyBorder="1" applyAlignment="1" applyProtection="1">
      <alignment horizontal="left" vertical="center" wrapText="1"/>
      <protection hidden="1"/>
    </xf>
    <xf numFmtId="0" fontId="18" fillId="20" borderId="101" xfId="0" applyFont="1" applyFill="1" applyBorder="1" applyAlignment="1" applyProtection="1">
      <alignment horizontal="left" vertical="center" wrapText="1"/>
      <protection locked="0" hidden="1"/>
    </xf>
    <xf numFmtId="0" fontId="18" fillId="20" borderId="102" xfId="0" applyFont="1" applyFill="1" applyBorder="1" applyAlignment="1" applyProtection="1">
      <alignment horizontal="left" vertical="center" wrapText="1"/>
      <protection locked="0" hidden="1"/>
    </xf>
    <xf numFmtId="0" fontId="18" fillId="15" borderId="107" xfId="0" applyFont="1" applyFill="1" applyBorder="1" applyAlignment="1" applyProtection="1">
      <alignment horizontal="left" vertical="center" wrapText="1"/>
      <protection hidden="1"/>
    </xf>
    <xf numFmtId="0" fontId="18" fillId="15" borderId="33"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left" vertical="center" wrapText="1"/>
      <protection locked="0" hidden="1"/>
    </xf>
    <xf numFmtId="0" fontId="18" fillId="20" borderId="7" xfId="0" applyFont="1" applyFill="1" applyBorder="1" applyAlignment="1" applyProtection="1">
      <alignment horizontal="left" vertical="center" wrapText="1"/>
      <protection locked="0" hidden="1"/>
    </xf>
    <xf numFmtId="0" fontId="18" fillId="20" borderId="105" xfId="0" applyFont="1" applyFill="1" applyBorder="1" applyAlignment="1" applyProtection="1">
      <alignment horizontal="left" vertical="center" wrapText="1"/>
      <protection locked="0" hidden="1"/>
    </xf>
    <xf numFmtId="0" fontId="18" fillId="15" borderId="104" xfId="0" applyFont="1" applyFill="1" applyBorder="1" applyAlignment="1" applyProtection="1">
      <alignment horizontal="left" vertical="center" wrapText="1"/>
      <protection hidden="1"/>
    </xf>
    <xf numFmtId="0" fontId="18" fillId="15" borderId="7" xfId="0" applyFont="1" applyFill="1" applyBorder="1" applyAlignment="1" applyProtection="1">
      <alignment horizontal="left" vertical="center" wrapText="1"/>
      <protection hidden="1"/>
    </xf>
    <xf numFmtId="0" fontId="18" fillId="15" borderId="105" xfId="0" applyFont="1" applyFill="1" applyBorder="1" applyAlignment="1" applyProtection="1">
      <alignment horizontal="left" vertical="center" wrapText="1"/>
      <protection hidden="1"/>
    </xf>
    <xf numFmtId="0" fontId="18" fillId="20" borderId="103" xfId="0" applyFont="1" applyFill="1" applyBorder="1" applyAlignment="1" applyProtection="1">
      <alignment horizontal="left" vertical="center" wrapText="1"/>
      <protection locked="0" hidden="1"/>
    </xf>
    <xf numFmtId="0" fontId="18" fillId="20" borderId="30" xfId="0" applyFont="1" applyFill="1" applyBorder="1" applyAlignment="1" applyProtection="1">
      <alignment horizontal="left" vertical="center" wrapText="1"/>
      <protection locked="0" hidden="1"/>
    </xf>
    <xf numFmtId="0" fontId="18" fillId="20" borderId="106" xfId="0" applyFont="1" applyFill="1" applyBorder="1" applyAlignment="1" applyProtection="1">
      <alignment horizontal="left" vertical="center" wrapText="1"/>
      <protection locked="0" hidden="1"/>
    </xf>
    <xf numFmtId="0" fontId="18" fillId="20" borderId="75" xfId="0" applyFont="1" applyFill="1" applyBorder="1" applyAlignment="1" applyProtection="1">
      <alignment horizontal="left" vertical="center" wrapText="1"/>
      <protection locked="0" hidden="1"/>
    </xf>
    <xf numFmtId="0" fontId="18" fillId="20" borderId="107" xfId="0" applyFont="1" applyFill="1" applyBorder="1" applyAlignment="1" applyProtection="1">
      <alignment horizontal="left" vertical="center" wrapText="1"/>
      <protection locked="0" hidden="1"/>
    </xf>
    <xf numFmtId="0" fontId="18" fillId="20" borderId="3" xfId="0" applyFont="1" applyFill="1" applyBorder="1" applyAlignment="1" applyProtection="1">
      <alignment horizontal="left" vertical="center" wrapText="1"/>
      <protection locked="0" hidden="1"/>
    </xf>
    <xf numFmtId="0" fontId="18" fillId="20" borderId="108" xfId="0" applyFont="1" applyFill="1" applyBorder="1" applyAlignment="1" applyProtection="1">
      <alignment horizontal="left" vertical="center" wrapText="1"/>
      <protection locked="0" hidden="1"/>
    </xf>
    <xf numFmtId="0" fontId="18" fillId="15" borderId="8"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left" vertical="center"/>
      <protection locked="0" hidden="1"/>
    </xf>
    <xf numFmtId="0" fontId="18" fillId="20" borderId="7" xfId="0" applyFont="1" applyFill="1" applyBorder="1" applyAlignment="1" applyProtection="1">
      <alignment horizontal="left" vertical="center"/>
      <protection locked="0" hidden="1"/>
    </xf>
    <xf numFmtId="0" fontId="18" fillId="20" borderId="105" xfId="0" applyFont="1" applyFill="1" applyBorder="1" applyAlignment="1" applyProtection="1">
      <alignment horizontal="left" vertical="center"/>
      <protection locked="0" hidden="1"/>
    </xf>
    <xf numFmtId="0" fontId="18" fillId="15" borderId="75" xfId="0" applyFont="1" applyFill="1" applyBorder="1" applyAlignment="1" applyProtection="1">
      <alignment horizontal="left" vertical="center" wrapText="1"/>
      <protection hidden="1"/>
    </xf>
    <xf numFmtId="0" fontId="18" fillId="15" borderId="20" xfId="0" applyFont="1" applyFill="1" applyBorder="1" applyAlignment="1" applyProtection="1">
      <alignment horizontal="left" vertical="center" wrapText="1"/>
      <protection hidden="1"/>
    </xf>
    <xf numFmtId="0" fontId="18" fillId="20" borderId="29" xfId="0" applyFont="1" applyFill="1" applyBorder="1" applyAlignment="1" applyProtection="1">
      <alignment horizontal="left" vertical="center"/>
      <protection locked="0" hidden="1"/>
    </xf>
    <xf numFmtId="0" fontId="18" fillId="20" borderId="30" xfId="0" applyFont="1" applyFill="1" applyBorder="1" applyAlignment="1" applyProtection="1">
      <alignment horizontal="left" vertical="center"/>
      <protection locked="0" hidden="1"/>
    </xf>
    <xf numFmtId="0" fontId="18" fillId="20" borderId="106" xfId="0" applyFont="1" applyFill="1" applyBorder="1" applyAlignment="1" applyProtection="1">
      <alignment horizontal="left" vertical="center"/>
      <protection locked="0" hidden="1"/>
    </xf>
    <xf numFmtId="0" fontId="18" fillId="20" borderId="32" xfId="0" applyFont="1" applyFill="1" applyBorder="1" applyAlignment="1" applyProtection="1">
      <alignment horizontal="left" vertical="center"/>
      <protection locked="0" hidden="1"/>
    </xf>
    <xf numFmtId="0" fontId="18" fillId="20" borderId="3" xfId="0" applyFont="1" applyFill="1" applyBorder="1" applyAlignment="1" applyProtection="1">
      <alignment horizontal="left" vertical="center"/>
      <protection locked="0" hidden="1"/>
    </xf>
    <xf numFmtId="0" fontId="18" fillId="20" borderId="108" xfId="0" applyFont="1" applyFill="1" applyBorder="1" applyAlignment="1" applyProtection="1">
      <alignment horizontal="left" vertical="center"/>
      <protection locked="0" hidden="1"/>
    </xf>
    <xf numFmtId="0" fontId="18" fillId="20" borderId="29" xfId="0" applyFont="1" applyFill="1" applyBorder="1" applyAlignment="1" applyProtection="1">
      <alignment horizontal="left" vertical="center" wrapText="1"/>
      <protection locked="0" hidden="1"/>
    </xf>
    <xf numFmtId="0" fontId="18" fillId="20" borderId="32" xfId="0" applyFont="1" applyFill="1" applyBorder="1" applyAlignment="1" applyProtection="1">
      <alignment horizontal="left" vertical="center" wrapText="1"/>
      <protection locked="0" hidden="1"/>
    </xf>
    <xf numFmtId="0" fontId="18" fillId="15" borderId="4" xfId="0" applyFont="1" applyFill="1" applyBorder="1" applyAlignment="1" applyProtection="1">
      <alignment horizontal="left" vertical="center" wrapText="1"/>
      <protection hidden="1"/>
    </xf>
    <xf numFmtId="0" fontId="18" fillId="20" borderId="4" xfId="0" applyFont="1" applyFill="1" applyBorder="1" applyAlignment="1" applyProtection="1">
      <alignment horizontal="left" wrapText="1"/>
      <protection locked="0" hidden="1"/>
    </xf>
    <xf numFmtId="0" fontId="18" fillId="20" borderId="0" xfId="0" applyFont="1" applyFill="1" applyBorder="1" applyAlignment="1" applyProtection="1">
      <alignment horizontal="justify" vertical="center" wrapText="1"/>
      <protection locked="0" hidden="1"/>
    </xf>
    <xf numFmtId="0" fontId="18" fillId="20" borderId="71" xfId="0" applyFont="1" applyFill="1" applyBorder="1" applyAlignment="1" applyProtection="1">
      <alignment horizontal="justify" vertical="center" wrapText="1"/>
      <protection locked="0" hidden="1"/>
    </xf>
    <xf numFmtId="0" fontId="18" fillId="20" borderId="10" xfId="0" applyFont="1" applyFill="1" applyBorder="1" applyAlignment="1" applyProtection="1">
      <alignment horizontal="justify" vertical="center" wrapText="1"/>
      <protection locked="0" hidden="1"/>
    </xf>
    <xf numFmtId="0" fontId="18" fillId="20" borderId="7" xfId="0" applyFont="1" applyFill="1" applyBorder="1" applyAlignment="1" applyProtection="1">
      <alignment horizontal="justify" vertical="center" wrapText="1"/>
      <protection locked="0" hidden="1"/>
    </xf>
    <xf numFmtId="0" fontId="18" fillId="20" borderId="105" xfId="0" applyFont="1" applyFill="1" applyBorder="1" applyAlignment="1" applyProtection="1">
      <alignment horizontal="justify" vertical="center" wrapText="1"/>
      <protection locked="0" hidden="1"/>
    </xf>
    <xf numFmtId="0" fontId="18" fillId="20" borderId="10" xfId="0" applyFont="1" applyFill="1" applyBorder="1" applyAlignment="1" applyProtection="1">
      <alignment horizontal="center" vertical="center" wrapText="1"/>
      <protection locked="0" hidden="1"/>
    </xf>
    <xf numFmtId="0" fontId="18" fillId="20" borderId="7" xfId="0" applyFont="1" applyFill="1" applyBorder="1" applyAlignment="1" applyProtection="1">
      <alignment horizontal="center" vertical="center" wrapText="1"/>
      <protection locked="0" hidden="1"/>
    </xf>
    <xf numFmtId="0" fontId="18" fillId="20" borderId="105" xfId="0" applyFont="1" applyFill="1" applyBorder="1" applyAlignment="1" applyProtection="1">
      <alignment horizontal="center" vertical="center" wrapText="1"/>
      <protection locked="0" hidden="1"/>
    </xf>
    <xf numFmtId="0" fontId="18" fillId="15" borderId="0" xfId="0" applyFont="1" applyFill="1" applyBorder="1" applyAlignment="1" applyProtection="1">
      <alignment horizontal="left" vertical="center" wrapText="1"/>
      <protection hidden="1"/>
    </xf>
    <xf numFmtId="0" fontId="18" fillId="20" borderId="109" xfId="0" applyFont="1" applyFill="1" applyBorder="1" applyAlignment="1" applyProtection="1">
      <alignment horizontal="center" vertical="center" wrapText="1"/>
      <protection locked="0" hidden="1"/>
    </xf>
    <xf numFmtId="0" fontId="18" fillId="20" borderId="19" xfId="0" applyFont="1" applyFill="1" applyBorder="1" applyAlignment="1" applyProtection="1">
      <alignment horizontal="center" vertical="center" wrapText="1"/>
      <protection locked="0" hidden="1"/>
    </xf>
    <xf numFmtId="0" fontId="18" fillId="20" borderId="72" xfId="0" applyFont="1" applyFill="1" applyBorder="1" applyAlignment="1" applyProtection="1">
      <alignment horizontal="center" vertical="center" wrapText="1"/>
      <protection locked="0" hidden="1"/>
    </xf>
    <xf numFmtId="0" fontId="18" fillId="15" borderId="73" xfId="0" applyFont="1" applyFill="1" applyBorder="1" applyAlignment="1" applyProtection="1">
      <alignment horizontal="left" vertical="center" wrapText="1"/>
      <protection hidden="1"/>
    </xf>
    <xf numFmtId="0" fontId="18" fillId="20" borderId="110" xfId="0" applyFont="1" applyFill="1" applyBorder="1" applyAlignment="1" applyProtection="1">
      <alignment horizontal="left" vertical="center" wrapText="1"/>
      <protection locked="0" hidden="1"/>
    </xf>
    <xf numFmtId="0" fontId="18" fillId="20" borderId="4" xfId="0" applyFont="1" applyFill="1" applyBorder="1" applyAlignment="1" applyProtection="1">
      <alignment horizontal="justify" vertical="center" wrapText="1"/>
      <protection locked="0" hidden="1"/>
    </xf>
    <xf numFmtId="0" fontId="18" fillId="20" borderId="4" xfId="0" applyFont="1" applyFill="1" applyBorder="1" applyAlignment="1" applyProtection="1">
      <alignment horizontal="left" vertical="center" wrapText="1"/>
      <protection locked="0" hidden="1"/>
    </xf>
    <xf numFmtId="0" fontId="18" fillId="20" borderId="110" xfId="0" applyFont="1" applyFill="1" applyBorder="1" applyAlignment="1" applyProtection="1">
      <alignment horizontal="justify" vertical="center" wrapText="1"/>
      <protection locked="0" hidden="1"/>
    </xf>
    <xf numFmtId="0" fontId="18" fillId="20" borderId="101" xfId="0" applyFont="1" applyFill="1" applyBorder="1" applyAlignment="1" applyProtection="1">
      <alignment horizontal="justify" vertical="center" wrapText="1"/>
      <protection locked="0" hidden="1"/>
    </xf>
    <xf numFmtId="0" fontId="18" fillId="20" borderId="102" xfId="0" applyFont="1" applyFill="1" applyBorder="1" applyAlignment="1" applyProtection="1">
      <alignment horizontal="justify" vertical="center" wrapText="1"/>
      <protection locked="0" hidden="1"/>
    </xf>
    <xf numFmtId="0" fontId="18" fillId="20" borderId="4" xfId="0" applyFont="1" applyFill="1" applyBorder="1" applyAlignment="1" applyProtection="1">
      <alignment horizontal="center" vertical="center" wrapText="1"/>
      <protection locked="0" hidden="1"/>
    </xf>
    <xf numFmtId="0" fontId="162" fillId="11" borderId="0" xfId="0" applyFont="1" applyFill="1" applyAlignment="1" applyProtection="1">
      <alignment horizontal="justify" vertical="center" wrapText="1"/>
      <protection hidden="1"/>
    </xf>
    <xf numFmtId="0" fontId="8" fillId="4" borderId="74" xfId="0" applyFont="1" applyFill="1" applyBorder="1" applyAlignment="1" applyProtection="1">
      <alignment horizontal="left" vertical="center" wrapText="1"/>
      <protection hidden="1"/>
    </xf>
    <xf numFmtId="0" fontId="8" fillId="4" borderId="73" xfId="0" applyFont="1" applyFill="1" applyBorder="1" applyAlignment="1" applyProtection="1">
      <alignment horizontal="left" vertical="center" wrapText="1"/>
      <protection hidden="1"/>
    </xf>
    <xf numFmtId="0" fontId="8" fillId="4" borderId="70" xfId="0" applyFont="1" applyFill="1" applyBorder="1" applyAlignment="1" applyProtection="1">
      <alignment horizontal="left" vertical="center" wrapText="1"/>
      <protection hidden="1"/>
    </xf>
    <xf numFmtId="0" fontId="18" fillId="15" borderId="4" xfId="0" applyFont="1" applyFill="1" applyBorder="1" applyAlignment="1" applyProtection="1">
      <alignment horizontal="justify" vertical="center" wrapText="1"/>
      <protection hidden="1"/>
    </xf>
    <xf numFmtId="0" fontId="18" fillId="15" borderId="110" xfId="0" applyFont="1" applyFill="1" applyBorder="1" applyAlignment="1" applyProtection="1">
      <alignment horizontal="left" vertical="center" wrapText="1"/>
      <protection hidden="1"/>
    </xf>
    <xf numFmtId="0" fontId="18" fillId="15" borderId="101" xfId="0" applyFont="1" applyFill="1" applyBorder="1" applyAlignment="1" applyProtection="1">
      <alignment horizontal="left" vertical="center" wrapText="1"/>
      <protection hidden="1"/>
    </xf>
    <xf numFmtId="0" fontId="18" fillId="15" borderId="111" xfId="0" applyFont="1" applyFill="1" applyBorder="1" applyAlignment="1" applyProtection="1">
      <alignment horizontal="left" vertical="center" wrapText="1"/>
      <protection hidden="1"/>
    </xf>
    <xf numFmtId="0" fontId="36" fillId="5" borderId="39" xfId="0" applyFont="1" applyFill="1" applyBorder="1" applyAlignment="1" applyProtection="1">
      <alignment horizontal="center" vertical="center" wrapText="1"/>
      <protection hidden="1"/>
    </xf>
    <xf numFmtId="0" fontId="36" fillId="5" borderId="0" xfId="0" applyFont="1" applyFill="1" applyBorder="1" applyAlignment="1" applyProtection="1">
      <alignment horizontal="center" vertical="center" wrapText="1"/>
      <protection hidden="1"/>
    </xf>
    <xf numFmtId="0" fontId="36" fillId="5" borderId="40" xfId="0" applyFont="1" applyFill="1" applyBorder="1" applyAlignment="1" applyProtection="1">
      <alignment horizontal="center" vertical="center" wrapText="1"/>
      <protection hidden="1"/>
    </xf>
    <xf numFmtId="0" fontId="36" fillId="5" borderId="36" xfId="0" applyFont="1" applyFill="1" applyBorder="1" applyAlignment="1" applyProtection="1">
      <alignment horizontal="center" vertical="top" wrapText="1"/>
      <protection hidden="1"/>
    </xf>
    <xf numFmtId="0" fontId="36" fillId="5" borderId="37" xfId="0" applyFont="1" applyFill="1" applyBorder="1" applyAlignment="1" applyProtection="1">
      <alignment horizontal="center" vertical="top" wrapText="1"/>
      <protection hidden="1"/>
    </xf>
    <xf numFmtId="0" fontId="36" fillId="5" borderId="38" xfId="0" applyFont="1" applyFill="1" applyBorder="1" applyAlignment="1" applyProtection="1">
      <alignment horizontal="center" vertical="top" wrapText="1"/>
      <protection hidden="1"/>
    </xf>
    <xf numFmtId="0" fontId="18" fillId="0" borderId="0" xfId="0" applyFont="1" applyAlignment="1" applyProtection="1">
      <alignment horizontal="center" vertical="center"/>
      <protection hidden="1"/>
    </xf>
    <xf numFmtId="0" fontId="36" fillId="5" borderId="22" xfId="0" applyFont="1" applyFill="1" applyBorder="1" applyAlignment="1" applyProtection="1">
      <alignment horizontal="center" vertical="center" wrapText="1"/>
      <protection hidden="1"/>
    </xf>
    <xf numFmtId="0" fontId="36" fillId="5" borderId="23" xfId="0" applyFont="1" applyFill="1" applyBorder="1" applyAlignment="1" applyProtection="1">
      <alignment horizontal="center" vertical="center" wrapText="1"/>
      <protection hidden="1"/>
    </xf>
    <xf numFmtId="0" fontId="36" fillId="5" borderId="24" xfId="0" applyFont="1" applyFill="1" applyBorder="1" applyAlignment="1" applyProtection="1">
      <alignment horizontal="center" vertical="center" wrapText="1"/>
      <protection hidden="1"/>
    </xf>
    <xf numFmtId="0" fontId="18" fillId="10" borderId="0" xfId="0" applyFont="1" applyFill="1" applyAlignment="1" applyProtection="1">
      <alignment horizontal="justify" vertical="center"/>
      <protection hidden="1"/>
    </xf>
    <xf numFmtId="0" fontId="18" fillId="10" borderId="0" xfId="0" applyFont="1" applyFill="1" applyAlignment="1" applyProtection="1">
      <alignment horizontal="justify" vertical="center" wrapText="1"/>
      <protection hidden="1"/>
    </xf>
    <xf numFmtId="0" fontId="160" fillId="5" borderId="75" xfId="0" applyFont="1" applyFill="1" applyBorder="1" applyAlignment="1" applyProtection="1">
      <alignment horizontal="left" vertical="center" wrapText="1"/>
      <protection hidden="1"/>
    </xf>
    <xf numFmtId="0" fontId="160" fillId="5" borderId="0" xfId="0" applyFont="1" applyFill="1" applyBorder="1" applyAlignment="1" applyProtection="1">
      <alignment horizontal="left" vertical="center" wrapText="1"/>
      <protection hidden="1"/>
    </xf>
    <xf numFmtId="0" fontId="18" fillId="15" borderId="17" xfId="0" applyFont="1" applyFill="1" applyBorder="1" applyAlignment="1" applyProtection="1">
      <alignment horizontal="left" vertical="center" wrapText="1"/>
      <protection hidden="1"/>
    </xf>
    <xf numFmtId="0" fontId="18" fillId="15" borderId="69" xfId="0" applyFont="1" applyFill="1" applyBorder="1" applyAlignment="1" applyProtection="1">
      <alignment horizontal="left" vertical="center" wrapText="1"/>
      <protection hidden="1"/>
    </xf>
    <xf numFmtId="0" fontId="18" fillId="19" borderId="17" xfId="0" applyFont="1" applyFill="1" applyBorder="1" applyAlignment="1" applyProtection="1">
      <alignment horizontal="justify" vertical="center" wrapText="1"/>
      <protection hidden="1"/>
    </xf>
    <xf numFmtId="0" fontId="18" fillId="19" borderId="99" xfId="0" applyFont="1" applyFill="1" applyBorder="1" applyAlignment="1" applyProtection="1">
      <alignment horizontal="justify" vertical="center" wrapText="1"/>
      <protection hidden="1"/>
    </xf>
    <xf numFmtId="0" fontId="18" fillId="19" borderId="69" xfId="0" applyFont="1" applyFill="1" applyBorder="1" applyAlignment="1" applyProtection="1">
      <alignment horizontal="justify" vertical="center" wrapText="1"/>
      <protection hidden="1"/>
    </xf>
    <xf numFmtId="3" fontId="8" fillId="20" borderId="4" xfId="0" applyNumberFormat="1" applyFont="1" applyFill="1" applyBorder="1" applyAlignment="1" applyProtection="1">
      <alignment horizontal="left" vertical="center"/>
      <protection locked="0"/>
    </xf>
    <xf numFmtId="3" fontId="8" fillId="20" borderId="10" xfId="0" applyNumberFormat="1" applyFont="1" applyFill="1" applyBorder="1" applyAlignment="1" applyProtection="1">
      <alignment horizontal="left" vertical="center"/>
      <protection locked="0"/>
    </xf>
    <xf numFmtId="3" fontId="8" fillId="20" borderId="7" xfId="0" applyNumberFormat="1" applyFont="1" applyFill="1" applyBorder="1" applyAlignment="1" applyProtection="1">
      <alignment horizontal="left" vertical="center"/>
      <protection locked="0"/>
    </xf>
    <xf numFmtId="3" fontId="8" fillId="20" borderId="8" xfId="0" applyNumberFormat="1" applyFont="1" applyFill="1" applyBorder="1" applyAlignment="1" applyProtection="1">
      <alignment horizontal="left" vertical="center"/>
      <protection locked="0"/>
    </xf>
    <xf numFmtId="0" fontId="8" fillId="4" borderId="10" xfId="0" applyFont="1" applyFill="1" applyBorder="1" applyAlignment="1">
      <alignment horizontal="left" vertical="center" wrapText="1" indent="2"/>
    </xf>
    <xf numFmtId="0" fontId="8" fillId="4" borderId="7" xfId="0" applyFont="1" applyFill="1" applyBorder="1" applyAlignment="1">
      <alignment horizontal="left" vertical="center" wrapText="1" indent="2"/>
    </xf>
    <xf numFmtId="0" fontId="8" fillId="4" borderId="8" xfId="0" applyFont="1" applyFill="1" applyBorder="1" applyAlignment="1">
      <alignment horizontal="left" vertical="center" wrapText="1" indent="2"/>
    </xf>
    <xf numFmtId="0" fontId="4" fillId="5" borderId="6" xfId="0" applyFont="1" applyFill="1" applyBorder="1" applyAlignment="1">
      <alignment horizontal="left" vertical="center" indent="1"/>
    </xf>
    <xf numFmtId="0" fontId="4" fillId="5" borderId="9" xfId="0" applyFont="1" applyFill="1" applyBorder="1" applyAlignment="1">
      <alignment horizontal="left" vertical="center" indent="1"/>
    </xf>
    <xf numFmtId="0" fontId="4" fillId="32" borderId="6" xfId="0" applyFont="1" applyFill="1" applyBorder="1" applyAlignment="1">
      <alignment horizontal="left" vertical="center" indent="1"/>
    </xf>
    <xf numFmtId="0" fontId="4" fillId="32" borderId="9" xfId="0" applyFont="1" applyFill="1" applyBorder="1" applyAlignment="1">
      <alignment horizontal="left" vertical="center" indent="1"/>
    </xf>
    <xf numFmtId="3" fontId="8" fillId="20" borderId="10" xfId="0" applyNumberFormat="1" applyFont="1" applyFill="1" applyBorder="1" applyAlignment="1" applyProtection="1">
      <alignment horizontal="center" vertical="center"/>
      <protection locked="0"/>
    </xf>
    <xf numFmtId="3" fontId="8" fillId="20" borderId="8" xfId="0" applyNumberFormat="1" applyFont="1" applyFill="1" applyBorder="1" applyAlignment="1" applyProtection="1">
      <alignment horizontal="center" vertical="center"/>
      <protection locked="0"/>
    </xf>
    <xf numFmtId="3" fontId="8" fillId="4" borderId="10" xfId="0" applyNumberFormat="1" applyFont="1" applyFill="1" applyBorder="1" applyAlignment="1" applyProtection="1">
      <alignment horizontal="center" vertical="center"/>
      <protection locked="0"/>
    </xf>
    <xf numFmtId="3" fontId="8" fillId="4" borderId="8" xfId="0" applyNumberFormat="1" applyFont="1" applyFill="1" applyBorder="1" applyAlignment="1" applyProtection="1">
      <alignment horizontal="center" vertical="center"/>
      <protection locked="0"/>
    </xf>
    <xf numFmtId="0" fontId="8" fillId="4" borderId="34" xfId="0" applyFont="1" applyFill="1" applyBorder="1" applyAlignment="1">
      <alignment horizontal="left" vertical="center"/>
    </xf>
    <xf numFmtId="0" fontId="8" fillId="4" borderId="49" xfId="0" applyFont="1" applyFill="1" applyBorder="1" applyAlignment="1">
      <alignment horizontal="left" vertical="center"/>
    </xf>
    <xf numFmtId="0" fontId="8" fillId="4" borderId="28" xfId="0" applyFont="1" applyFill="1" applyBorder="1" applyAlignment="1">
      <alignment horizontal="left" vertical="center"/>
    </xf>
    <xf numFmtId="0" fontId="65" fillId="10" borderId="0" xfId="0" applyFont="1" applyFill="1" applyAlignment="1">
      <alignment horizontal="left" vertical="center" wrapText="1" indent="8"/>
    </xf>
    <xf numFmtId="0" fontId="65" fillId="10" borderId="0" xfId="0" applyFont="1" applyFill="1" applyAlignment="1">
      <alignment horizontal="left" vertical="center" indent="8"/>
    </xf>
    <xf numFmtId="3" fontId="89" fillId="20" borderId="4" xfId="0" applyNumberFormat="1" applyFont="1" applyFill="1" applyBorder="1" applyAlignment="1" applyProtection="1">
      <alignment horizontal="center" vertical="center"/>
      <protection locked="0"/>
    </xf>
    <xf numFmtId="0" fontId="2" fillId="10" borderId="10" xfId="2" applyFont="1" applyFill="1" applyBorder="1" applyAlignment="1" applyProtection="1">
      <alignment horizontal="left" vertical="center"/>
      <protection hidden="1"/>
    </xf>
    <xf numFmtId="0" fontId="2" fillId="10" borderId="7" xfId="2" applyFont="1" applyFill="1" applyBorder="1" applyAlignment="1" applyProtection="1">
      <alignment horizontal="left" vertical="center"/>
      <protection hidden="1"/>
    </xf>
    <xf numFmtId="0" fontId="2" fillId="10" borderId="8" xfId="2" applyFont="1" applyFill="1" applyBorder="1" applyAlignment="1" applyProtection="1">
      <alignment horizontal="left" vertical="center"/>
      <protection hidden="1"/>
    </xf>
    <xf numFmtId="0" fontId="141" fillId="10" borderId="0" xfId="0" applyFont="1" applyFill="1" applyAlignment="1">
      <alignment horizontal="left" vertical="center" wrapText="1" indent="8"/>
    </xf>
    <xf numFmtId="0" fontId="2" fillId="10" borderId="10" xfId="2" applyFont="1" applyFill="1" applyBorder="1" applyAlignment="1" applyProtection="1">
      <alignment horizontal="left" vertical="center" wrapText="1"/>
      <protection hidden="1"/>
    </xf>
    <xf numFmtId="0" fontId="2" fillId="10" borderId="7" xfId="2" applyFont="1" applyFill="1" applyBorder="1" applyAlignment="1" applyProtection="1">
      <alignment horizontal="left" vertical="center" wrapText="1"/>
      <protection hidden="1"/>
    </xf>
    <xf numFmtId="0" fontId="2" fillId="10" borderId="8" xfId="2" applyFont="1" applyFill="1" applyBorder="1" applyAlignment="1" applyProtection="1">
      <alignment horizontal="left" vertical="center" wrapText="1"/>
      <protection hidden="1"/>
    </xf>
    <xf numFmtId="0" fontId="9" fillId="32" borderId="0" xfId="0" applyFont="1" applyFill="1" applyBorder="1" applyAlignment="1" applyProtection="1">
      <alignment horizontal="left" vertical="center" indent="1"/>
      <protection hidden="1"/>
    </xf>
    <xf numFmtId="0" fontId="5" fillId="32" borderId="0" xfId="0" applyFont="1" applyFill="1" applyAlignment="1" applyProtection="1">
      <alignment horizontal="left" vertical="center" indent="1"/>
      <protection hidden="1"/>
    </xf>
    <xf numFmtId="0" fontId="2" fillId="10" borderId="4" xfId="2" applyFont="1" applyFill="1" applyBorder="1" applyAlignment="1" applyProtection="1">
      <alignment horizontal="left" vertical="center" wrapText="1"/>
      <protection hidden="1"/>
    </xf>
    <xf numFmtId="0" fontId="90" fillId="0" borderId="4" xfId="0" applyFont="1" applyBorder="1" applyAlignment="1" applyProtection="1">
      <alignment horizontal="center" vertical="center"/>
      <protection hidden="1"/>
    </xf>
    <xf numFmtId="0" fontId="22" fillId="14" borderId="0" xfId="2" applyFont="1" applyFill="1" applyBorder="1" applyAlignment="1" applyProtection="1">
      <alignment horizontal="left" vertical="center" wrapText="1"/>
      <protection hidden="1"/>
    </xf>
    <xf numFmtId="0" fontId="194" fillId="4" borderId="29" xfId="2" applyFont="1" applyFill="1" applyBorder="1" applyAlignment="1" applyProtection="1">
      <alignment horizontal="center" vertical="center" wrapText="1"/>
      <protection hidden="1"/>
    </xf>
    <xf numFmtId="0" fontId="194" fillId="4" borderId="30" xfId="2" applyFont="1" applyFill="1" applyBorder="1" applyAlignment="1" applyProtection="1">
      <alignment horizontal="center" vertical="center" wrapText="1"/>
      <protection hidden="1"/>
    </xf>
    <xf numFmtId="0" fontId="194" fillId="4" borderId="32" xfId="2" applyFont="1" applyFill="1" applyBorder="1" applyAlignment="1" applyProtection="1">
      <alignment horizontal="center" vertical="center" wrapText="1"/>
      <protection hidden="1"/>
    </xf>
    <xf numFmtId="0" fontId="194" fillId="4" borderId="3" xfId="2" applyFont="1" applyFill="1" applyBorder="1" applyAlignment="1" applyProtection="1">
      <alignment horizontal="center" vertical="center" wrapText="1"/>
      <protection hidden="1"/>
    </xf>
    <xf numFmtId="0" fontId="90" fillId="5" borderId="4" xfId="2" applyFont="1" applyFill="1" applyBorder="1" applyAlignment="1" applyProtection="1">
      <alignment horizontal="center" vertical="center" wrapText="1"/>
      <protection hidden="1"/>
    </xf>
    <xf numFmtId="0" fontId="22" fillId="14" borderId="23" xfId="2" applyFont="1" applyFill="1" applyBorder="1" applyAlignment="1" applyProtection="1">
      <alignment horizontal="left" vertical="center" wrapText="1"/>
      <protection hidden="1"/>
    </xf>
    <xf numFmtId="0" fontId="4" fillId="16" borderId="36" xfId="3" applyFont="1" applyFill="1" applyBorder="1" applyAlignment="1" applyProtection="1">
      <alignment horizontal="left" vertical="center"/>
      <protection hidden="1"/>
    </xf>
    <xf numFmtId="0" fontId="4" fillId="16" borderId="37" xfId="3" applyFont="1" applyFill="1" applyBorder="1" applyAlignment="1" applyProtection="1">
      <alignment horizontal="left" vertical="center"/>
      <protection hidden="1"/>
    </xf>
    <xf numFmtId="0" fontId="4" fillId="16" borderId="22" xfId="3" applyFont="1" applyFill="1" applyBorder="1" applyAlignment="1" applyProtection="1">
      <alignment horizontal="left" vertical="center"/>
      <protection hidden="1"/>
    </xf>
    <xf numFmtId="0" fontId="4" fillId="16" borderId="23" xfId="3" applyFont="1" applyFill="1" applyBorder="1" applyAlignment="1" applyProtection="1">
      <alignment horizontal="left" vertical="center"/>
      <protection hidden="1"/>
    </xf>
    <xf numFmtId="0" fontId="26" fillId="16" borderId="37" xfId="0" applyFont="1" applyFill="1" applyBorder="1" applyAlignment="1" applyProtection="1">
      <alignment horizontal="center" vertical="center" wrapText="1"/>
      <protection hidden="1"/>
    </xf>
    <xf numFmtId="0" fontId="26" fillId="16" borderId="23" xfId="0" applyFont="1" applyFill="1" applyBorder="1" applyAlignment="1" applyProtection="1">
      <alignment horizontal="center" vertical="center" wrapText="1"/>
      <protection hidden="1"/>
    </xf>
    <xf numFmtId="0" fontId="26" fillId="16" borderId="38" xfId="0" applyFont="1" applyFill="1" applyBorder="1" applyAlignment="1" applyProtection="1">
      <alignment horizontal="center" vertical="center" wrapText="1"/>
      <protection hidden="1"/>
    </xf>
    <xf numFmtId="0" fontId="26" fillId="16" borderId="24" xfId="0" applyFont="1" applyFill="1" applyBorder="1" applyAlignment="1" applyProtection="1">
      <alignment horizontal="center" vertical="center" wrapText="1"/>
      <protection hidden="1"/>
    </xf>
    <xf numFmtId="0" fontId="22" fillId="14" borderId="37" xfId="2" applyFont="1" applyFill="1" applyBorder="1" applyAlignment="1" applyProtection="1">
      <alignment horizontal="left" vertical="center" wrapText="1"/>
      <protection hidden="1"/>
    </xf>
    <xf numFmtId="0" fontId="4" fillId="3" borderId="36" xfId="3" applyFont="1" applyFill="1" applyBorder="1" applyAlignment="1" applyProtection="1">
      <alignment horizontal="left" vertical="center"/>
      <protection hidden="1"/>
    </xf>
    <xf numFmtId="0" fontId="4" fillId="3" borderId="37" xfId="3" applyFont="1" applyFill="1" applyBorder="1" applyAlignment="1" applyProtection="1">
      <alignment horizontal="left" vertical="center"/>
      <protection hidden="1"/>
    </xf>
    <xf numFmtId="0" fontId="4" fillId="3" borderId="22" xfId="3" applyFont="1" applyFill="1" applyBorder="1" applyAlignment="1" applyProtection="1">
      <alignment horizontal="left" vertical="center"/>
      <protection hidden="1"/>
    </xf>
    <xf numFmtId="0" fontId="4" fillId="3" borderId="23" xfId="3" applyFont="1" applyFill="1" applyBorder="1" applyAlignment="1" applyProtection="1">
      <alignment horizontal="left" vertical="center"/>
      <protection hidden="1"/>
    </xf>
    <xf numFmtId="0" fontId="4" fillId="21" borderId="25" xfId="3" applyFont="1" applyFill="1" applyBorder="1" applyAlignment="1" applyProtection="1">
      <alignment vertical="center"/>
      <protection hidden="1"/>
    </xf>
    <xf numFmtId="0" fontId="4" fillId="21" borderId="26" xfId="3" applyFont="1" applyFill="1" applyBorder="1" applyAlignment="1" applyProtection="1">
      <alignment vertical="center"/>
      <protection hidden="1"/>
    </xf>
    <xf numFmtId="0" fontId="27" fillId="14" borderId="37" xfId="2" applyFont="1" applyFill="1" applyBorder="1" applyAlignment="1" applyProtection="1">
      <alignment horizontal="center" vertical="center" wrapText="1"/>
      <protection hidden="1"/>
    </xf>
    <xf numFmtId="0" fontId="27" fillId="14" borderId="23" xfId="2" applyFont="1" applyFill="1" applyBorder="1" applyAlignment="1" applyProtection="1">
      <alignment horizontal="center" vertical="center" wrapText="1"/>
      <protection hidden="1"/>
    </xf>
    <xf numFmtId="0" fontId="26" fillId="3" borderId="37" xfId="0" applyFont="1" applyFill="1" applyBorder="1" applyAlignment="1" applyProtection="1">
      <alignment horizontal="center" vertical="center" wrapText="1"/>
      <protection hidden="1"/>
    </xf>
    <xf numFmtId="0" fontId="26" fillId="3" borderId="23" xfId="0" applyFont="1" applyFill="1" applyBorder="1" applyAlignment="1" applyProtection="1">
      <alignment horizontal="center" vertical="center" wrapText="1"/>
      <protection hidden="1"/>
    </xf>
    <xf numFmtId="0" fontId="26" fillId="3" borderId="38" xfId="0" applyFont="1" applyFill="1" applyBorder="1" applyAlignment="1" applyProtection="1">
      <alignment horizontal="center" vertical="center" wrapText="1"/>
      <protection hidden="1"/>
    </xf>
    <xf numFmtId="0" fontId="26" fillId="3" borderId="24" xfId="0" applyFont="1" applyFill="1" applyBorder="1" applyAlignment="1" applyProtection="1">
      <alignment horizontal="center" vertical="center" wrapText="1"/>
      <protection hidden="1"/>
    </xf>
    <xf numFmtId="0" fontId="4" fillId="13" borderId="36" xfId="3" applyFont="1" applyFill="1" applyBorder="1" applyAlignment="1" applyProtection="1">
      <alignment horizontal="left" vertical="center"/>
      <protection hidden="1"/>
    </xf>
    <xf numFmtId="0" fontId="4" fillId="13" borderId="37" xfId="3" applyFont="1" applyFill="1" applyBorder="1" applyAlignment="1" applyProtection="1">
      <alignment horizontal="left" vertical="center"/>
      <protection hidden="1"/>
    </xf>
    <xf numFmtId="0" fontId="4" fillId="13" borderId="22" xfId="3" applyFont="1" applyFill="1" applyBorder="1" applyAlignment="1" applyProtection="1">
      <alignment horizontal="left" vertical="center"/>
      <protection hidden="1"/>
    </xf>
    <xf numFmtId="0" fontId="4" fillId="13" borderId="23" xfId="3" applyFont="1" applyFill="1" applyBorder="1" applyAlignment="1" applyProtection="1">
      <alignment horizontal="left" vertical="center"/>
      <protection hidden="1"/>
    </xf>
    <xf numFmtId="0" fontId="26" fillId="13" borderId="37" xfId="0" applyFont="1" applyFill="1" applyBorder="1" applyAlignment="1" applyProtection="1">
      <alignment horizontal="center" vertical="center" wrapText="1"/>
      <protection hidden="1"/>
    </xf>
    <xf numFmtId="0" fontId="26" fillId="13" borderId="23" xfId="0" applyFont="1" applyFill="1" applyBorder="1" applyAlignment="1" applyProtection="1">
      <alignment horizontal="center" vertical="center" wrapText="1"/>
      <protection hidden="1"/>
    </xf>
    <xf numFmtId="0" fontId="26" fillId="13" borderId="38" xfId="0" applyFont="1" applyFill="1" applyBorder="1" applyAlignment="1" applyProtection="1">
      <alignment horizontal="center" vertical="center" wrapText="1"/>
      <protection hidden="1"/>
    </xf>
    <xf numFmtId="0" fontId="26" fillId="13" borderId="24" xfId="0" applyFont="1" applyFill="1" applyBorder="1" applyAlignment="1" applyProtection="1">
      <alignment horizontal="center" vertical="center" wrapText="1"/>
      <protection hidden="1"/>
    </xf>
    <xf numFmtId="0" fontId="22" fillId="12" borderId="0" xfId="2" applyFont="1" applyFill="1" applyAlignment="1" applyProtection="1">
      <alignment horizontal="center" vertical="center" wrapText="1"/>
      <protection hidden="1"/>
    </xf>
    <xf numFmtId="0" fontId="127" fillId="5" borderId="0" xfId="0" applyFont="1" applyFill="1" applyBorder="1" applyAlignment="1" applyProtection="1">
      <alignment horizontal="left" vertical="center" indent="1"/>
      <protection hidden="1"/>
    </xf>
    <xf numFmtId="0" fontId="26" fillId="5" borderId="38" xfId="0" applyFont="1" applyFill="1" applyBorder="1" applyAlignment="1" applyProtection="1">
      <alignment horizontal="center" vertical="center" wrapText="1"/>
      <protection hidden="1"/>
    </xf>
    <xf numFmtId="0" fontId="26" fillId="5" borderId="24" xfId="0" applyFont="1" applyFill="1" applyBorder="1" applyAlignment="1" applyProtection="1">
      <alignment horizontal="center" vertical="center" wrapText="1"/>
      <protection hidden="1"/>
    </xf>
    <xf numFmtId="0" fontId="4" fillId="7" borderId="36" xfId="3" applyFont="1" applyFill="1" applyBorder="1" applyAlignment="1" applyProtection="1">
      <alignment horizontal="left" vertical="center"/>
      <protection hidden="1"/>
    </xf>
    <xf numFmtId="0" fontId="4" fillId="7" borderId="37" xfId="3" applyFont="1" applyFill="1" applyBorder="1" applyAlignment="1" applyProtection="1">
      <alignment horizontal="left" vertical="center"/>
      <protection hidden="1"/>
    </xf>
    <xf numFmtId="0" fontId="4" fillId="7" borderId="22" xfId="3" applyFont="1" applyFill="1" applyBorder="1" applyAlignment="1" applyProtection="1">
      <alignment horizontal="left" vertical="center"/>
      <protection hidden="1"/>
    </xf>
    <xf numFmtId="0" fontId="4" fillId="7" borderId="23" xfId="3" applyFont="1" applyFill="1" applyBorder="1" applyAlignment="1" applyProtection="1">
      <alignment horizontal="left" vertical="center"/>
      <protection hidden="1"/>
    </xf>
    <xf numFmtId="0" fontId="26" fillId="7" borderId="37" xfId="0" applyFont="1" applyFill="1" applyBorder="1" applyAlignment="1" applyProtection="1">
      <alignment horizontal="center" vertical="center" wrapText="1"/>
      <protection hidden="1"/>
    </xf>
    <xf numFmtId="0" fontId="26" fillId="7" borderId="23" xfId="0" applyFont="1" applyFill="1" applyBorder="1" applyAlignment="1" applyProtection="1">
      <alignment horizontal="center" vertical="center" wrapText="1"/>
      <protection hidden="1"/>
    </xf>
    <xf numFmtId="0" fontId="26" fillId="7" borderId="38" xfId="0" applyFont="1" applyFill="1" applyBorder="1" applyAlignment="1" applyProtection="1">
      <alignment horizontal="center" vertical="center" wrapText="1"/>
      <protection hidden="1"/>
    </xf>
    <xf numFmtId="0" fontId="26" fillId="7" borderId="24" xfId="0" applyFont="1" applyFill="1" applyBorder="1" applyAlignment="1" applyProtection="1">
      <alignment horizontal="center" vertical="center" wrapText="1"/>
      <protection hidden="1"/>
    </xf>
    <xf numFmtId="0" fontId="4" fillId="5" borderId="36" xfId="3" applyFont="1" applyFill="1" applyBorder="1" applyAlignment="1" applyProtection="1">
      <alignment horizontal="left" vertical="center"/>
      <protection hidden="1"/>
    </xf>
    <xf numFmtId="0" fontId="4" fillId="5" borderId="37" xfId="3" applyFont="1" applyFill="1" applyBorder="1" applyAlignment="1" applyProtection="1">
      <alignment horizontal="left" vertical="center"/>
      <protection hidden="1"/>
    </xf>
    <xf numFmtId="0" fontId="4" fillId="5" borderId="22" xfId="3" applyFont="1" applyFill="1" applyBorder="1" applyAlignment="1" applyProtection="1">
      <alignment horizontal="left" vertical="center"/>
      <protection hidden="1"/>
    </xf>
    <xf numFmtId="0" fontId="4" fillId="5" borderId="23" xfId="3" applyFont="1" applyFill="1" applyBorder="1" applyAlignment="1" applyProtection="1">
      <alignment horizontal="left" vertical="center"/>
      <protection hidden="1"/>
    </xf>
    <xf numFmtId="0" fontId="26" fillId="5" borderId="37" xfId="0" applyFont="1" applyFill="1" applyBorder="1" applyAlignment="1" applyProtection="1">
      <alignment horizontal="center" vertical="center" wrapText="1"/>
      <protection hidden="1"/>
    </xf>
    <xf numFmtId="0" fontId="26" fillId="5" borderId="23" xfId="0" applyFont="1" applyFill="1" applyBorder="1" applyAlignment="1" applyProtection="1">
      <alignment horizontal="center" vertical="center" wrapText="1"/>
      <protection hidden="1"/>
    </xf>
    <xf numFmtId="0" fontId="4" fillId="6" borderId="25" xfId="3" applyFont="1" applyFill="1" applyBorder="1" applyAlignment="1" applyProtection="1">
      <alignment horizontal="left" vertical="center" wrapText="1"/>
      <protection hidden="1"/>
    </xf>
    <xf numFmtId="0" fontId="4" fillId="6" borderId="26" xfId="3" applyFont="1" applyFill="1" applyBorder="1" applyAlignment="1" applyProtection="1">
      <alignment horizontal="left" vertical="center" wrapText="1"/>
      <protection hidden="1"/>
    </xf>
    <xf numFmtId="0" fontId="8" fillId="20" borderId="78" xfId="2" applyFont="1" applyFill="1" applyBorder="1" applyAlignment="1" applyProtection="1">
      <alignment horizontal="center" vertical="center"/>
      <protection locked="0"/>
    </xf>
    <xf numFmtId="0" fontId="8" fillId="20" borderId="79" xfId="2" applyFont="1" applyFill="1" applyBorder="1" applyAlignment="1" applyProtection="1">
      <alignment horizontal="center" vertical="center"/>
      <protection locked="0"/>
    </xf>
    <xf numFmtId="0" fontId="8" fillId="20" borderId="83" xfId="2" applyFont="1" applyFill="1" applyBorder="1" applyAlignment="1" applyProtection="1">
      <alignment horizontal="center" vertical="center"/>
      <protection locked="0"/>
    </xf>
    <xf numFmtId="0" fontId="8" fillId="18" borderId="78" xfId="2" applyFont="1" applyFill="1" applyBorder="1" applyAlignment="1" applyProtection="1">
      <alignment horizontal="center" vertical="center"/>
      <protection hidden="1"/>
    </xf>
    <xf numFmtId="0" fontId="8" fillId="18" borderId="79" xfId="2" applyFont="1" applyFill="1" applyBorder="1" applyAlignment="1" applyProtection="1">
      <alignment horizontal="center" vertical="center"/>
      <protection hidden="1"/>
    </xf>
    <xf numFmtId="0" fontId="8" fillId="18" borderId="83" xfId="2" applyFont="1" applyFill="1" applyBorder="1" applyAlignment="1" applyProtection="1">
      <alignment horizontal="center" vertical="center"/>
      <protection hidden="1"/>
    </xf>
    <xf numFmtId="0" fontId="55" fillId="10" borderId="0" xfId="0" applyFont="1" applyFill="1" applyAlignment="1">
      <alignment horizontal="left" wrapText="1" indent="1"/>
    </xf>
    <xf numFmtId="0" fontId="181" fillId="2" borderId="0" xfId="0" applyFont="1" applyFill="1" applyAlignment="1">
      <alignment horizontal="center"/>
    </xf>
    <xf numFmtId="0" fontId="46" fillId="21" borderId="4" xfId="0" applyFont="1" applyFill="1" applyBorder="1" applyAlignment="1" applyProtection="1">
      <alignment horizontal="center" vertical="center" wrapText="1"/>
      <protection hidden="1"/>
    </xf>
    <xf numFmtId="0" fontId="95" fillId="10" borderId="10" xfId="3" applyFont="1" applyFill="1" applyBorder="1" applyAlignment="1">
      <alignment horizontal="left" vertical="center" indent="1"/>
    </xf>
    <xf numFmtId="0" fontId="95" fillId="10" borderId="8" xfId="3" applyFont="1" applyFill="1" applyBorder="1" applyAlignment="1">
      <alignment horizontal="left" vertical="center" indent="1"/>
    </xf>
    <xf numFmtId="0" fontId="5" fillId="21" borderId="10" xfId="0" applyFont="1" applyFill="1" applyBorder="1" applyAlignment="1" applyProtection="1">
      <alignment horizontal="left" vertical="center" indent="1"/>
      <protection hidden="1"/>
    </xf>
    <xf numFmtId="0" fontId="5" fillId="21" borderId="8" xfId="0" applyFont="1" applyFill="1" applyBorder="1" applyAlignment="1" applyProtection="1">
      <alignment horizontal="left" vertical="center" indent="1"/>
      <protection hidden="1"/>
    </xf>
    <xf numFmtId="0" fontId="45" fillId="21" borderId="30" xfId="2" applyFont="1" applyFill="1" applyBorder="1" applyAlignment="1">
      <alignment horizontal="left" vertical="center"/>
    </xf>
    <xf numFmtId="0" fontId="45" fillId="21" borderId="0" xfId="2" applyFont="1" applyFill="1" applyBorder="1" applyAlignment="1">
      <alignment horizontal="left" vertical="center"/>
    </xf>
    <xf numFmtId="0" fontId="46" fillId="21" borderId="29" xfId="0" applyFont="1" applyFill="1" applyBorder="1" applyAlignment="1" applyProtection="1">
      <alignment horizontal="left" vertical="center" indent="1"/>
      <protection hidden="1"/>
    </xf>
    <xf numFmtId="0" fontId="46" fillId="21" borderId="31" xfId="0" applyFont="1" applyFill="1" applyBorder="1" applyAlignment="1" applyProtection="1">
      <alignment horizontal="left" vertical="center" indent="1"/>
      <protection hidden="1"/>
    </xf>
    <xf numFmtId="0" fontId="46" fillId="21" borderId="32" xfId="0" applyFont="1" applyFill="1" applyBorder="1" applyAlignment="1" applyProtection="1">
      <alignment horizontal="left" vertical="center" indent="1"/>
      <protection hidden="1"/>
    </xf>
    <xf numFmtId="0" fontId="46" fillId="21" borderId="33" xfId="0" applyFont="1" applyFill="1" applyBorder="1" applyAlignment="1" applyProtection="1">
      <alignment horizontal="left" vertical="center" indent="1"/>
      <protection hidden="1"/>
    </xf>
    <xf numFmtId="0" fontId="5" fillId="21" borderId="0" xfId="2" applyFont="1" applyFill="1" applyBorder="1" applyAlignment="1" applyProtection="1">
      <alignment horizontal="left" vertical="center" wrapText="1"/>
      <protection hidden="1"/>
    </xf>
    <xf numFmtId="0" fontId="16" fillId="21" borderId="10" xfId="0" applyFont="1" applyFill="1" applyBorder="1" applyAlignment="1" applyProtection="1">
      <alignment horizontal="center" vertical="center"/>
      <protection hidden="1"/>
    </xf>
    <xf numFmtId="0" fontId="16" fillId="21" borderId="7" xfId="0" applyFont="1" applyFill="1" applyBorder="1" applyAlignment="1" applyProtection="1">
      <alignment horizontal="center" vertical="center"/>
      <protection hidden="1"/>
    </xf>
    <xf numFmtId="0" fontId="16" fillId="21" borderId="8"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7" fillId="23" borderId="35" xfId="2" applyFont="1" applyFill="1" applyBorder="1" applyAlignment="1" applyProtection="1">
      <alignment horizontal="center" vertical="center" wrapText="1"/>
      <protection hidden="1"/>
    </xf>
    <xf numFmtId="0" fontId="7" fillId="23" borderId="0" xfId="2" applyFont="1" applyFill="1" applyBorder="1" applyAlignment="1" applyProtection="1">
      <alignment horizontal="center" vertical="center" wrapText="1"/>
      <protection hidden="1"/>
    </xf>
    <xf numFmtId="0" fontId="2" fillId="23" borderId="0" xfId="0" applyFont="1" applyFill="1" applyAlignment="1">
      <alignment horizontal="left" vertical="center" wrapText="1" indent="6"/>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4" fillId="20" borderId="28" xfId="0" applyFont="1" applyFill="1" applyBorder="1" applyAlignment="1" applyProtection="1">
      <alignment horizontal="center" vertical="center" wrapText="1"/>
      <protection locked="0"/>
    </xf>
    <xf numFmtId="0" fontId="13" fillId="21" borderId="10"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left" vertical="center" indent="1"/>
      <protection hidden="1"/>
    </xf>
    <xf numFmtId="0" fontId="2" fillId="10" borderId="39" xfId="2" applyFont="1" applyFill="1" applyBorder="1" applyAlignment="1" applyProtection="1">
      <alignment horizontal="left" vertical="center" wrapText="1" indent="8"/>
      <protection hidden="1"/>
    </xf>
    <xf numFmtId="0" fontId="2" fillId="10" borderId="0" xfId="2" applyFont="1" applyFill="1" applyBorder="1" applyAlignment="1" applyProtection="1">
      <alignment horizontal="left" vertical="center" wrapText="1" indent="8"/>
      <protection hidden="1"/>
    </xf>
    <xf numFmtId="0" fontId="2" fillId="10" borderId="40" xfId="2" applyFont="1" applyFill="1" applyBorder="1" applyAlignment="1" applyProtection="1">
      <alignment horizontal="left" vertical="center" wrapText="1" indent="8"/>
      <protection hidden="1"/>
    </xf>
    <xf numFmtId="0" fontId="2" fillId="4" borderId="4" xfId="2" applyNumberFormat="1" applyFont="1" applyFill="1" applyBorder="1" applyAlignment="1">
      <alignment horizontal="left" vertical="center" wrapText="1" indent="1"/>
    </xf>
    <xf numFmtId="0" fontId="13" fillId="21" borderId="30" xfId="0" applyFont="1" applyFill="1" applyBorder="1" applyAlignment="1" applyProtection="1">
      <alignment horizontal="left" vertical="center" indent="1"/>
      <protection hidden="1"/>
    </xf>
    <xf numFmtId="0" fontId="2" fillId="4" borderId="10" xfId="0" applyFont="1" applyFill="1" applyBorder="1" applyAlignment="1" applyProtection="1">
      <alignment horizontal="left" vertical="center" wrapText="1" indent="1"/>
      <protection hidden="1"/>
    </xf>
    <xf numFmtId="0" fontId="2" fillId="4" borderId="7" xfId="0" applyFont="1" applyFill="1" applyBorder="1" applyAlignment="1" applyProtection="1">
      <alignment horizontal="left" vertical="center" wrapText="1" indent="1"/>
      <protection hidden="1"/>
    </xf>
    <xf numFmtId="0" fontId="2" fillId="4" borderId="8" xfId="0" applyFont="1" applyFill="1" applyBorder="1" applyAlignment="1" applyProtection="1">
      <alignment horizontal="left" vertical="center" wrapText="1" indent="1"/>
      <protection hidden="1"/>
    </xf>
    <xf numFmtId="0" fontId="2" fillId="20" borderId="29" xfId="2" applyFont="1" applyFill="1" applyBorder="1" applyAlignment="1" applyProtection="1">
      <alignment horizontal="center" vertical="center"/>
      <protection locked="0"/>
    </xf>
    <xf numFmtId="0" fontId="2" fillId="20" borderId="30" xfId="2" applyFont="1" applyFill="1" applyBorder="1" applyAlignment="1" applyProtection="1">
      <alignment horizontal="center" vertical="center"/>
      <protection locked="0"/>
    </xf>
    <xf numFmtId="0" fontId="20" fillId="23" borderId="0" xfId="2" applyFont="1" applyFill="1" applyBorder="1" applyAlignment="1" applyProtection="1">
      <alignment horizontal="center" vertical="center" wrapText="1"/>
      <protection hidden="1"/>
    </xf>
    <xf numFmtId="0" fontId="20" fillId="23" borderId="0" xfId="2" applyFont="1" applyFill="1" applyBorder="1" applyAlignment="1" applyProtection="1">
      <alignment horizontal="center" vertical="center"/>
      <protection hidden="1"/>
    </xf>
    <xf numFmtId="166" fontId="14" fillId="4" borderId="4" xfId="0" applyNumberFormat="1" applyFont="1" applyFill="1" applyBorder="1" applyAlignment="1" applyProtection="1">
      <alignment horizontal="center" vertical="center" wrapText="1"/>
      <protection hidden="1"/>
    </xf>
    <xf numFmtId="0" fontId="57" fillId="11" borderId="36" xfId="2" applyFont="1" applyFill="1" applyBorder="1" applyAlignment="1" applyProtection="1">
      <alignment horizontal="left" vertical="center" wrapText="1" indent="1"/>
      <protection hidden="1"/>
    </xf>
    <xf numFmtId="0" fontId="57" fillId="11" borderId="37" xfId="2" applyFont="1" applyFill="1" applyBorder="1" applyAlignment="1" applyProtection="1">
      <alignment horizontal="left" vertical="center" wrapText="1" indent="1"/>
      <protection hidden="1"/>
    </xf>
    <xf numFmtId="0" fontId="57" fillId="11" borderId="38" xfId="2" applyFont="1" applyFill="1" applyBorder="1" applyAlignment="1" applyProtection="1">
      <alignment horizontal="left" vertical="center" wrapText="1" indent="1"/>
      <protection hidden="1"/>
    </xf>
    <xf numFmtId="0" fontId="57" fillId="11" borderId="39" xfId="2" applyFont="1" applyFill="1" applyBorder="1" applyAlignment="1" applyProtection="1">
      <alignment horizontal="left" vertical="center" wrapText="1" indent="1"/>
      <protection hidden="1"/>
    </xf>
    <xf numFmtId="0" fontId="57" fillId="11" borderId="0" xfId="2" applyFont="1" applyFill="1" applyBorder="1" applyAlignment="1" applyProtection="1">
      <alignment horizontal="left" vertical="center" wrapText="1" indent="1"/>
      <protection hidden="1"/>
    </xf>
    <xf numFmtId="0" fontId="57" fillId="11" borderId="40" xfId="2" applyFont="1" applyFill="1" applyBorder="1" applyAlignment="1" applyProtection="1">
      <alignment horizontal="left" vertical="center" wrapText="1" indent="1"/>
      <protection hidden="1"/>
    </xf>
    <xf numFmtId="0" fontId="57" fillId="11" borderId="22" xfId="2" applyFont="1" applyFill="1" applyBorder="1" applyAlignment="1" applyProtection="1">
      <alignment horizontal="left" vertical="center" wrapText="1" indent="1"/>
      <protection hidden="1"/>
    </xf>
    <xf numFmtId="0" fontId="57" fillId="11" borderId="23" xfId="2" applyFont="1" applyFill="1" applyBorder="1" applyAlignment="1" applyProtection="1">
      <alignment horizontal="left" vertical="center" wrapText="1" indent="1"/>
      <protection hidden="1"/>
    </xf>
    <xf numFmtId="0" fontId="57" fillId="11" borderId="24" xfId="2" applyFont="1" applyFill="1" applyBorder="1" applyAlignment="1" applyProtection="1">
      <alignment horizontal="left" vertical="center" wrapText="1" indent="1"/>
      <protection hidden="1"/>
    </xf>
    <xf numFmtId="0" fontId="13" fillId="21" borderId="7" xfId="0" applyFont="1" applyFill="1" applyBorder="1" applyAlignment="1" applyProtection="1">
      <alignment horizontal="center" vertical="center" wrapText="1"/>
      <protection hidden="1"/>
    </xf>
    <xf numFmtId="0" fontId="16" fillId="21" borderId="4" xfId="0" applyFont="1" applyFill="1" applyBorder="1" applyAlignment="1" applyProtection="1">
      <alignment horizontal="center" vertical="center"/>
      <protection hidden="1"/>
    </xf>
    <xf numFmtId="0" fontId="10" fillId="21" borderId="0" xfId="0" applyFont="1" applyFill="1" applyBorder="1" applyAlignment="1" applyProtection="1">
      <alignment horizontal="left" vertical="center" indent="1"/>
      <protection hidden="1"/>
    </xf>
    <xf numFmtId="0" fontId="2" fillId="10" borderId="45" xfId="2" applyFill="1" applyBorder="1" applyAlignment="1">
      <alignment horizontal="left" vertical="center" indent="7"/>
    </xf>
    <xf numFmtId="0" fontId="2" fillId="10" borderId="0" xfId="2" applyFill="1" applyBorder="1" applyAlignment="1">
      <alignment horizontal="left" vertical="center" indent="7"/>
    </xf>
    <xf numFmtId="0" fontId="2" fillId="10" borderId="46" xfId="2" applyFill="1" applyBorder="1" applyAlignment="1">
      <alignment horizontal="left" vertical="center" indent="7"/>
    </xf>
    <xf numFmtId="0" fontId="2" fillId="10" borderId="47" xfId="2" applyFill="1" applyBorder="1" applyAlignment="1">
      <alignment horizontal="left" vertical="center" indent="7"/>
    </xf>
    <xf numFmtId="0" fontId="2" fillId="10" borderId="6" xfId="2" applyFill="1" applyBorder="1" applyAlignment="1">
      <alignment horizontal="left" vertical="center" indent="7"/>
    </xf>
    <xf numFmtId="0" fontId="2" fillId="10" borderId="48" xfId="2" applyFill="1" applyBorder="1" applyAlignment="1">
      <alignment horizontal="left" vertical="center" indent="7"/>
    </xf>
    <xf numFmtId="0" fontId="2" fillId="10" borderId="43" xfId="2" applyFill="1" applyBorder="1" applyAlignment="1">
      <alignment horizontal="left" vertical="center" wrapText="1" indent="6"/>
    </xf>
    <xf numFmtId="0" fontId="2" fillId="10" borderId="42" xfId="2" applyFill="1" applyBorder="1" applyAlignment="1">
      <alignment horizontal="left" vertical="center" wrapText="1" indent="6"/>
    </xf>
    <xf numFmtId="0" fontId="2" fillId="10" borderId="44" xfId="2" applyFill="1" applyBorder="1" applyAlignment="1">
      <alignment horizontal="left" vertical="center" wrapText="1" indent="6"/>
    </xf>
    <xf numFmtId="0" fontId="21" fillId="10" borderId="116" xfId="2" applyFont="1" applyFill="1" applyBorder="1" applyAlignment="1" applyProtection="1">
      <alignment horizontal="left" vertical="center" wrapText="1" indent="1"/>
      <protection hidden="1"/>
    </xf>
    <xf numFmtId="0" fontId="21" fillId="10" borderId="117" xfId="2" applyFont="1" applyFill="1" applyBorder="1" applyAlignment="1" applyProtection="1">
      <alignment horizontal="left" vertical="center" wrapText="1" indent="1"/>
      <protection hidden="1"/>
    </xf>
    <xf numFmtId="0" fontId="21" fillId="10" borderId="118" xfId="2" applyFont="1" applyFill="1" applyBorder="1" applyAlignment="1" applyProtection="1">
      <alignment horizontal="left" vertical="center" wrapText="1" indent="1"/>
      <protection hidden="1"/>
    </xf>
    <xf numFmtId="0" fontId="19" fillId="21" borderId="36" xfId="2" applyFont="1" applyFill="1" applyBorder="1" applyAlignment="1" applyProtection="1">
      <alignment horizontal="left" vertical="center" wrapText="1" indent="1"/>
      <protection hidden="1"/>
    </xf>
    <xf numFmtId="0" fontId="19" fillId="21" borderId="37" xfId="2" applyFont="1" applyFill="1" applyBorder="1" applyAlignment="1" applyProtection="1">
      <alignment horizontal="left" vertical="center" wrapText="1" indent="1"/>
      <protection hidden="1"/>
    </xf>
    <xf numFmtId="0" fontId="2" fillId="10" borderId="22" xfId="2" applyFont="1" applyFill="1" applyBorder="1" applyAlignment="1" applyProtection="1">
      <alignment horizontal="left" vertical="center" indent="8"/>
      <protection hidden="1"/>
    </xf>
    <xf numFmtId="0" fontId="2" fillId="10" borderId="23" xfId="2" applyFont="1" applyFill="1" applyBorder="1" applyAlignment="1" applyProtection="1">
      <alignment horizontal="left" vertical="center" indent="8"/>
      <protection hidden="1"/>
    </xf>
    <xf numFmtId="0" fontId="2" fillId="10" borderId="24" xfId="2" applyFont="1" applyFill="1" applyBorder="1" applyAlignment="1" applyProtection="1">
      <alignment horizontal="left" vertical="center" indent="8"/>
      <protection hidden="1"/>
    </xf>
    <xf numFmtId="0" fontId="2" fillId="10" borderId="39" xfId="2" applyFont="1" applyFill="1" applyBorder="1" applyAlignment="1" applyProtection="1">
      <alignment horizontal="left" vertical="center" wrapText="1" indent="7"/>
      <protection hidden="1"/>
    </xf>
    <xf numFmtId="0" fontId="2" fillId="10" borderId="0" xfId="2" applyFont="1" applyFill="1" applyBorder="1" applyAlignment="1" applyProtection="1">
      <alignment horizontal="left" vertical="center" wrapText="1" indent="7"/>
      <protection hidden="1"/>
    </xf>
    <xf numFmtId="0" fontId="2" fillId="10" borderId="40" xfId="2" applyFont="1" applyFill="1" applyBorder="1" applyAlignment="1" applyProtection="1">
      <alignment horizontal="left" vertical="center" wrapText="1" indent="7"/>
      <protection hidden="1"/>
    </xf>
    <xf numFmtId="0" fontId="35" fillId="21" borderId="0" xfId="0" applyFont="1" applyFill="1" applyBorder="1" applyAlignment="1" applyProtection="1">
      <alignment horizontal="left" vertical="center" indent="1"/>
      <protection hidden="1"/>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0" fontId="7" fillId="22" borderId="35" xfId="2" applyFont="1" applyFill="1" applyBorder="1" applyAlignment="1" applyProtection="1">
      <alignment horizontal="center" vertical="center" wrapText="1"/>
      <protection hidden="1"/>
    </xf>
    <xf numFmtId="0" fontId="7" fillId="22" borderId="0" xfId="2" applyFont="1" applyFill="1" applyBorder="1" applyAlignment="1" applyProtection="1">
      <alignment horizontal="center" vertical="center" wrapText="1"/>
      <protection hidden="1"/>
    </xf>
    <xf numFmtId="0" fontId="2" fillId="10" borderId="22" xfId="2" applyFont="1" applyFill="1" applyBorder="1" applyAlignment="1" applyProtection="1">
      <alignment horizontal="left" vertical="center" wrapText="1" indent="7"/>
      <protection hidden="1"/>
    </xf>
    <xf numFmtId="0" fontId="2" fillId="10" borderId="23" xfId="2" applyFont="1" applyFill="1" applyBorder="1" applyAlignment="1" applyProtection="1">
      <alignment horizontal="left" vertical="center" wrapText="1" indent="7"/>
      <protection hidden="1"/>
    </xf>
    <xf numFmtId="0" fontId="2" fillId="10" borderId="24" xfId="2" applyFont="1" applyFill="1" applyBorder="1" applyAlignment="1" applyProtection="1">
      <alignment horizontal="left" vertical="center" wrapText="1" indent="7"/>
      <protection hidden="1"/>
    </xf>
    <xf numFmtId="0" fontId="21" fillId="11" borderId="5" xfId="2" applyFont="1" applyFill="1" applyBorder="1" applyAlignment="1">
      <alignment horizontal="left" vertical="center" wrapText="1" indent="1"/>
    </xf>
    <xf numFmtId="0" fontId="2" fillId="0" borderId="5" xfId="2" applyFont="1" applyFill="1" applyBorder="1" applyAlignment="1">
      <alignment horizontal="left" vertical="center" wrapText="1" indent="1"/>
    </xf>
    <xf numFmtId="0" fontId="2" fillId="0" borderId="25" xfId="2" applyFont="1" applyFill="1" applyBorder="1" applyAlignment="1">
      <alignment horizontal="left" vertical="center" wrapText="1" indent="1"/>
    </xf>
    <xf numFmtId="0" fontId="2" fillId="0" borderId="26" xfId="2" applyFont="1" applyFill="1" applyBorder="1" applyAlignment="1">
      <alignment horizontal="left" vertical="center" wrapText="1" indent="1"/>
    </xf>
    <xf numFmtId="0" fontId="2" fillId="10" borderId="25" xfId="2" applyFill="1" applyBorder="1" applyAlignment="1" applyProtection="1">
      <alignment horizontal="left" vertical="center" wrapText="1" indent="6"/>
      <protection hidden="1"/>
    </xf>
    <xf numFmtId="0" fontId="2" fillId="10" borderId="26" xfId="2" applyFill="1" applyBorder="1" applyAlignment="1" applyProtection="1">
      <alignment horizontal="left" vertical="center" wrapText="1" indent="6"/>
      <protection hidden="1"/>
    </xf>
    <xf numFmtId="0" fontId="2" fillId="10" borderId="27" xfId="2" applyFill="1" applyBorder="1" applyAlignment="1" applyProtection="1">
      <alignment horizontal="left" vertical="center" wrapText="1" indent="6"/>
      <protection hidden="1"/>
    </xf>
    <xf numFmtId="166" fontId="14" fillId="20" borderId="4" xfId="0" applyNumberFormat="1"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166" fontId="14" fillId="20" borderId="8" xfId="0" applyNumberFormat="1" applyFont="1" applyFill="1" applyBorder="1" applyAlignment="1" applyProtection="1">
      <alignment horizontal="center" vertical="center" wrapText="1"/>
      <protection locked="0"/>
    </xf>
    <xf numFmtId="0" fontId="21" fillId="10" borderId="36" xfId="2" applyFont="1" applyFill="1" applyBorder="1" applyAlignment="1" applyProtection="1">
      <alignment horizontal="left" indent="8"/>
      <protection hidden="1"/>
    </xf>
    <xf numFmtId="0" fontId="21" fillId="10" borderId="37" xfId="2" applyFont="1" applyFill="1" applyBorder="1" applyAlignment="1" applyProtection="1">
      <alignment horizontal="left" indent="8"/>
      <protection hidden="1"/>
    </xf>
    <xf numFmtId="0" fontId="21" fillId="10" borderId="38" xfId="2" applyFont="1" applyFill="1" applyBorder="1" applyAlignment="1" applyProtection="1">
      <alignment horizontal="left" indent="8"/>
      <protection hidden="1"/>
    </xf>
    <xf numFmtId="0" fontId="2" fillId="10" borderId="22" xfId="2" applyFont="1" applyFill="1" applyBorder="1" applyAlignment="1" applyProtection="1">
      <alignment horizontal="left" vertical="center" indent="9"/>
      <protection hidden="1"/>
    </xf>
    <xf numFmtId="0" fontId="2" fillId="10" borderId="23" xfId="2" applyFont="1" applyFill="1" applyBorder="1" applyAlignment="1" applyProtection="1">
      <alignment horizontal="left" vertical="center" indent="9"/>
      <protection hidden="1"/>
    </xf>
    <xf numFmtId="0" fontId="2" fillId="10" borderId="24" xfId="2" applyFont="1" applyFill="1" applyBorder="1" applyAlignment="1" applyProtection="1">
      <alignment horizontal="left" vertical="center" indent="9"/>
      <protection hidden="1"/>
    </xf>
    <xf numFmtId="0" fontId="2" fillId="10" borderId="39" xfId="2" applyFont="1" applyFill="1" applyBorder="1" applyAlignment="1" applyProtection="1">
      <alignment horizontal="left" vertical="center" indent="9"/>
      <protection hidden="1"/>
    </xf>
    <xf numFmtId="0" fontId="2" fillId="10" borderId="0" xfId="2" applyFont="1" applyFill="1" applyBorder="1" applyAlignment="1" applyProtection="1">
      <alignment horizontal="left" vertical="center" indent="9"/>
      <protection hidden="1"/>
    </xf>
    <xf numFmtId="0" fontId="2" fillId="10" borderId="40" xfId="2" applyFont="1" applyFill="1" applyBorder="1" applyAlignment="1" applyProtection="1">
      <alignment horizontal="left" vertical="center" indent="9"/>
      <protection hidden="1"/>
    </xf>
    <xf numFmtId="0" fontId="11" fillId="21" borderId="4" xfId="2" applyFont="1" applyFill="1" applyBorder="1" applyAlignment="1" applyProtection="1">
      <alignment horizontal="left" vertical="center" indent="1"/>
      <protection hidden="1"/>
    </xf>
    <xf numFmtId="0" fontId="2" fillId="10" borderId="36" xfId="2" applyFont="1" applyFill="1" applyBorder="1" applyAlignment="1" applyProtection="1">
      <alignment horizontal="left" vertical="center" indent="5"/>
      <protection hidden="1"/>
    </xf>
    <xf numFmtId="0" fontId="2" fillId="10" borderId="37" xfId="2" applyFont="1" applyFill="1" applyBorder="1" applyAlignment="1" applyProtection="1">
      <alignment horizontal="left" vertical="center" indent="5"/>
      <protection hidden="1"/>
    </xf>
    <xf numFmtId="0" fontId="2" fillId="10" borderId="38" xfId="2" applyFont="1" applyFill="1" applyBorder="1" applyAlignment="1" applyProtection="1">
      <alignment horizontal="left" vertical="center" indent="5"/>
      <protection hidden="1"/>
    </xf>
    <xf numFmtId="0" fontId="2" fillId="10" borderId="39" xfId="2" applyFont="1" applyFill="1" applyBorder="1" applyAlignment="1" applyProtection="1">
      <alignment horizontal="left" vertical="center" indent="5"/>
      <protection hidden="1"/>
    </xf>
    <xf numFmtId="0" fontId="2" fillId="10" borderId="0" xfId="2" applyFont="1" applyFill="1" applyBorder="1" applyAlignment="1" applyProtection="1">
      <alignment horizontal="left" vertical="center" indent="5"/>
      <protection hidden="1"/>
    </xf>
    <xf numFmtId="0" fontId="2" fillId="10" borderId="40" xfId="2" applyFont="1" applyFill="1" applyBorder="1" applyAlignment="1" applyProtection="1">
      <alignment horizontal="left" vertical="center" indent="5"/>
      <protection hidden="1"/>
    </xf>
    <xf numFmtId="0" fontId="2" fillId="10" borderId="22" xfId="2" applyFont="1" applyFill="1" applyBorder="1" applyAlignment="1" applyProtection="1">
      <alignment horizontal="left" vertical="center" indent="5"/>
      <protection hidden="1"/>
    </xf>
    <xf numFmtId="0" fontId="2" fillId="10" borderId="23" xfId="2" applyFont="1" applyFill="1" applyBorder="1" applyAlignment="1" applyProtection="1">
      <alignment horizontal="left" vertical="center" indent="5"/>
      <protection hidden="1"/>
    </xf>
    <xf numFmtId="0" fontId="2" fillId="10" borderId="24" xfId="2" applyFont="1" applyFill="1" applyBorder="1" applyAlignment="1" applyProtection="1">
      <alignment horizontal="left" vertical="center" indent="5"/>
      <protection hidden="1"/>
    </xf>
    <xf numFmtId="166" fontId="14" fillId="20" borderId="4" xfId="0" applyNumberFormat="1" applyFont="1" applyFill="1" applyBorder="1" applyAlignment="1" applyProtection="1">
      <alignment horizontal="left" vertical="center" wrapText="1"/>
      <protection locked="0"/>
    </xf>
    <xf numFmtId="0" fontId="2" fillId="4" borderId="4" xfId="0" applyFont="1" applyFill="1" applyBorder="1" applyAlignment="1" applyProtection="1">
      <alignment horizontal="left" vertical="center" wrapText="1" indent="1"/>
      <protection hidden="1"/>
    </xf>
    <xf numFmtId="0" fontId="11" fillId="21" borderId="10" xfId="0" applyFont="1" applyFill="1" applyBorder="1" applyAlignment="1" applyProtection="1">
      <alignment horizontal="left" vertical="center" wrapText="1" indent="1"/>
      <protection hidden="1"/>
    </xf>
    <xf numFmtId="0" fontId="11" fillId="21" borderId="7" xfId="0" applyFont="1" applyFill="1" applyBorder="1" applyAlignment="1" applyProtection="1">
      <alignment horizontal="left" vertical="center" wrapText="1" indent="1"/>
      <protection hidden="1"/>
    </xf>
    <xf numFmtId="0" fontId="11" fillId="21" borderId="8" xfId="0" applyFont="1" applyFill="1" applyBorder="1" applyAlignment="1" applyProtection="1">
      <alignment horizontal="left" vertical="center" wrapText="1" indent="1"/>
      <protection hidden="1"/>
    </xf>
    <xf numFmtId="0" fontId="2" fillId="10" borderId="39" xfId="2" applyFont="1" applyFill="1" applyBorder="1" applyAlignment="1" applyProtection="1">
      <alignment horizontal="left" vertical="center" wrapText="1" indent="9"/>
      <protection hidden="1"/>
    </xf>
    <xf numFmtId="0" fontId="2" fillId="10" borderId="39" xfId="2" applyFont="1" applyFill="1" applyBorder="1" applyAlignment="1" applyProtection="1">
      <alignment horizontal="left" indent="8"/>
      <protection hidden="1"/>
    </xf>
    <xf numFmtId="0" fontId="2" fillId="10" borderId="0" xfId="2" applyFont="1" applyFill="1" applyBorder="1" applyAlignment="1" applyProtection="1">
      <alignment horizontal="left" indent="8"/>
      <protection hidden="1"/>
    </xf>
    <xf numFmtId="0" fontId="2" fillId="10" borderId="40" xfId="2" applyFont="1" applyFill="1" applyBorder="1" applyAlignment="1" applyProtection="1">
      <alignment horizontal="left" indent="8"/>
      <protection hidden="1"/>
    </xf>
    <xf numFmtId="0" fontId="13" fillId="21" borderId="10"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4" fillId="20" borderId="7"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4" fillId="20" borderId="0" xfId="0" applyFont="1" applyFill="1" applyBorder="1" applyAlignment="1" applyProtection="1">
      <alignment horizontal="center" vertical="center" wrapText="1"/>
      <protection locked="0"/>
    </xf>
    <xf numFmtId="0" fontId="14" fillId="20" borderId="29" xfId="0" applyFont="1" applyFill="1" applyBorder="1" applyAlignment="1" applyProtection="1">
      <alignment horizontal="center" vertical="center" wrapText="1"/>
      <protection locked="0"/>
    </xf>
    <xf numFmtId="0" fontId="14" fillId="20" borderId="3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33" xfId="0" applyFont="1" applyFill="1" applyBorder="1" applyAlignment="1" applyProtection="1">
      <alignment horizontal="center" vertical="center" wrapText="1"/>
      <protection locked="0"/>
    </xf>
    <xf numFmtId="0" fontId="9" fillId="21" borderId="0" xfId="0" applyFont="1" applyFill="1" applyBorder="1" applyAlignment="1" applyProtection="1">
      <alignment horizontal="left" vertical="center" indent="1"/>
      <protection hidden="1"/>
    </xf>
    <xf numFmtId="0" fontId="8" fillId="18" borderId="25" xfId="2" applyFont="1" applyFill="1" applyBorder="1" applyAlignment="1" applyProtection="1">
      <alignment horizontal="center" vertical="center"/>
      <protection hidden="1"/>
    </xf>
    <xf numFmtId="0" fontId="8" fillId="18" borderId="27" xfId="2" applyFont="1" applyFill="1" applyBorder="1" applyAlignment="1" applyProtection="1">
      <alignment horizontal="center" vertical="center"/>
      <protection hidden="1"/>
    </xf>
    <xf numFmtId="0" fontId="2" fillId="10" borderId="36" xfId="2" applyFont="1" applyFill="1" applyBorder="1" applyAlignment="1" applyProtection="1">
      <alignment horizontal="left" indent="7"/>
      <protection hidden="1"/>
    </xf>
    <xf numFmtId="0" fontId="2" fillId="10" borderId="37" xfId="2" applyFont="1" applyFill="1" applyBorder="1" applyAlignment="1" applyProtection="1">
      <alignment horizontal="left" indent="7"/>
      <protection hidden="1"/>
    </xf>
    <xf numFmtId="0" fontId="2" fillId="10" borderId="38" xfId="2" applyFont="1" applyFill="1" applyBorder="1" applyAlignment="1" applyProtection="1">
      <alignment horizontal="left" indent="7"/>
      <protection hidden="1"/>
    </xf>
    <xf numFmtId="0" fontId="21" fillId="0" borderId="5" xfId="2" applyFont="1" applyFill="1" applyBorder="1" applyAlignment="1">
      <alignment horizontal="left" vertical="center" wrapText="1" indent="1"/>
    </xf>
    <xf numFmtId="0" fontId="2" fillId="0" borderId="27" xfId="2" applyFont="1" applyFill="1" applyBorder="1" applyAlignment="1">
      <alignment horizontal="left" vertical="center" wrapText="1" indent="1"/>
    </xf>
    <xf numFmtId="0" fontId="21" fillId="10" borderId="5" xfId="2" applyFont="1" applyFill="1" applyBorder="1" applyAlignment="1">
      <alignment horizontal="left" vertical="center" wrapText="1" indent="1"/>
    </xf>
    <xf numFmtId="0" fontId="2" fillId="10" borderId="5" xfId="2" applyFont="1" applyFill="1" applyBorder="1" applyAlignment="1">
      <alignment horizontal="left" vertical="center" wrapText="1" indent="1"/>
    </xf>
    <xf numFmtId="0" fontId="62" fillId="2" borderId="0" xfId="2" applyFont="1" applyFill="1" applyAlignment="1" applyProtection="1">
      <alignment horizontal="right" vertical="center" wrapText="1"/>
      <protection hidden="1"/>
    </xf>
    <xf numFmtId="0" fontId="62" fillId="2" borderId="23" xfId="2" applyFont="1" applyFill="1" applyBorder="1" applyAlignment="1" applyProtection="1">
      <alignment horizontal="right" vertical="center" wrapText="1"/>
      <protection hidden="1"/>
    </xf>
    <xf numFmtId="0" fontId="21" fillId="10" borderId="25" xfId="2" applyFont="1" applyFill="1" applyBorder="1" applyAlignment="1" applyProtection="1">
      <alignment horizontal="left" vertical="center" wrapText="1" indent="1"/>
      <protection hidden="1"/>
    </xf>
    <xf numFmtId="0" fontId="21" fillId="10" borderId="26" xfId="2" applyFont="1" applyFill="1" applyBorder="1" applyAlignment="1" applyProtection="1">
      <alignment horizontal="left" vertical="center" wrapText="1" indent="1"/>
      <protection hidden="1"/>
    </xf>
    <xf numFmtId="0" fontId="21" fillId="10" borderId="27" xfId="2" applyFont="1" applyFill="1" applyBorder="1" applyAlignment="1" applyProtection="1">
      <alignment horizontal="left" vertical="center" wrapText="1" indent="1"/>
      <protection hidden="1"/>
    </xf>
    <xf numFmtId="0" fontId="2" fillId="23" borderId="0" xfId="2" applyFont="1" applyFill="1" applyBorder="1" applyAlignment="1" applyProtection="1">
      <alignment horizontal="left" vertical="center" wrapText="1" indent="6"/>
      <protection hidden="1"/>
    </xf>
    <xf numFmtId="0" fontId="2" fillId="23" borderId="0" xfId="2" applyFont="1" applyFill="1" applyBorder="1" applyAlignment="1" applyProtection="1">
      <alignment horizontal="left" vertical="center" indent="6"/>
      <protection hidden="1"/>
    </xf>
    <xf numFmtId="0" fontId="21" fillId="10" borderId="36" xfId="2" applyFont="1" applyFill="1" applyBorder="1" applyAlignment="1" applyProtection="1">
      <alignment horizontal="left" wrapText="1" indent="6"/>
      <protection hidden="1"/>
    </xf>
    <xf numFmtId="0" fontId="21" fillId="10" borderId="37" xfId="2" applyFont="1" applyFill="1" applyBorder="1" applyAlignment="1" applyProtection="1">
      <alignment horizontal="left" indent="6"/>
      <protection hidden="1"/>
    </xf>
    <xf numFmtId="0" fontId="21" fillId="10" borderId="38" xfId="2" applyFont="1" applyFill="1" applyBorder="1" applyAlignment="1" applyProtection="1">
      <alignment horizontal="left" indent="6"/>
      <protection hidden="1"/>
    </xf>
    <xf numFmtId="0" fontId="14" fillId="4" borderId="10" xfId="0" applyFont="1" applyFill="1" applyBorder="1" applyAlignment="1">
      <alignment horizontal="left" vertical="center" wrapText="1" indent="1"/>
    </xf>
    <xf numFmtId="0" fontId="14" fillId="4" borderId="7" xfId="0" applyFont="1" applyFill="1" applyBorder="1" applyAlignment="1">
      <alignment horizontal="left" vertical="center" wrapText="1" indent="1"/>
    </xf>
    <xf numFmtId="0" fontId="14" fillId="4" borderId="8" xfId="0" applyFont="1" applyFill="1" applyBorder="1" applyAlignment="1">
      <alignment horizontal="left" vertical="center" wrapText="1" indent="1"/>
    </xf>
    <xf numFmtId="0" fontId="14" fillId="15" borderId="10" xfId="0" applyFont="1" applyFill="1" applyBorder="1" applyAlignment="1">
      <alignment horizontal="left" vertical="center" wrapText="1" indent="1"/>
    </xf>
    <xf numFmtId="0" fontId="14" fillId="15" borderId="8" xfId="0" applyFont="1" applyFill="1" applyBorder="1" applyAlignment="1">
      <alignment horizontal="left" vertical="center" wrapText="1" indent="1"/>
    </xf>
    <xf numFmtId="0" fontId="20" fillId="23" borderId="3" xfId="2" applyFont="1" applyFill="1" applyBorder="1" applyAlignment="1" applyProtection="1">
      <alignment horizontal="center" vertical="center" wrapText="1"/>
      <protection hidden="1"/>
    </xf>
    <xf numFmtId="0" fontId="2" fillId="23" borderId="35" xfId="2" applyFill="1" applyBorder="1" applyAlignment="1" applyProtection="1">
      <alignment horizontal="left" vertical="center" wrapText="1" indent="1"/>
      <protection hidden="1"/>
    </xf>
    <xf numFmtId="0" fontId="2" fillId="23" borderId="0" xfId="2" applyFill="1" applyBorder="1" applyAlignment="1" applyProtection="1">
      <alignment horizontal="left" vertical="center" wrapText="1" indent="1"/>
      <protection hidden="1"/>
    </xf>
    <xf numFmtId="0" fontId="20" fillId="23" borderId="0" xfId="2" applyFont="1" applyFill="1" applyBorder="1" applyAlignment="1" applyProtection="1">
      <alignment horizontal="left" vertical="center" wrapText="1" indent="6"/>
      <protection hidden="1"/>
    </xf>
    <xf numFmtId="0" fontId="20" fillId="23" borderId="0" xfId="2" applyFont="1" applyFill="1" applyBorder="1" applyAlignment="1" applyProtection="1">
      <alignment horizontal="left" vertical="center" indent="6"/>
      <protection hidden="1"/>
    </xf>
    <xf numFmtId="0" fontId="2" fillId="10" borderId="22" xfId="2" applyFill="1" applyBorder="1" applyAlignment="1" applyProtection="1">
      <alignment horizontal="left" indent="6"/>
      <protection hidden="1"/>
    </xf>
    <xf numFmtId="0" fontId="2" fillId="10" borderId="23" xfId="2" applyFill="1" applyBorder="1" applyAlignment="1" applyProtection="1">
      <alignment horizontal="left" indent="6"/>
      <protection hidden="1"/>
    </xf>
    <xf numFmtId="0" fontId="2" fillId="10" borderId="24" xfId="2" applyFill="1" applyBorder="1" applyAlignment="1" applyProtection="1">
      <alignment horizontal="left" indent="6"/>
      <protection hidden="1"/>
    </xf>
    <xf numFmtId="0" fontId="2" fillId="10" borderId="39" xfId="2" applyFill="1" applyBorder="1" applyAlignment="1" applyProtection="1">
      <alignment horizontal="left" vertical="center" wrapText="1" indent="7"/>
      <protection hidden="1"/>
    </xf>
    <xf numFmtId="0" fontId="2" fillId="10" borderId="0" xfId="2" applyFill="1" applyBorder="1" applyAlignment="1" applyProtection="1">
      <alignment horizontal="left" vertical="center" wrapText="1" indent="7"/>
      <protection hidden="1"/>
    </xf>
    <xf numFmtId="0" fontId="2" fillId="10" borderId="40" xfId="2" applyFill="1" applyBorder="1" applyAlignment="1" applyProtection="1">
      <alignment horizontal="left" vertical="center" wrapText="1" indent="7"/>
      <protection hidden="1"/>
    </xf>
    <xf numFmtId="0" fontId="2" fillId="10" borderId="22" xfId="2" applyFill="1" applyBorder="1" applyAlignment="1" applyProtection="1">
      <alignment horizontal="left" vertical="center" indent="6"/>
      <protection hidden="1"/>
    </xf>
    <xf numFmtId="0" fontId="2" fillId="10" borderId="23" xfId="2" applyFill="1" applyBorder="1" applyAlignment="1" applyProtection="1">
      <alignment horizontal="left" vertical="center" indent="6"/>
      <protection hidden="1"/>
    </xf>
    <xf numFmtId="0" fontId="2" fillId="10" borderId="24" xfId="2" applyFill="1" applyBorder="1" applyAlignment="1" applyProtection="1">
      <alignment horizontal="left" vertical="center" indent="6"/>
      <protection hidden="1"/>
    </xf>
    <xf numFmtId="0" fontId="2" fillId="10" borderId="39" xfId="2" applyFill="1" applyBorder="1" applyAlignment="1" applyProtection="1">
      <alignment horizontal="left" indent="7"/>
      <protection hidden="1"/>
    </xf>
    <xf numFmtId="0" fontId="2" fillId="10" borderId="0" xfId="2" applyFill="1" applyBorder="1" applyAlignment="1" applyProtection="1">
      <alignment horizontal="left" indent="7"/>
      <protection hidden="1"/>
    </xf>
    <xf numFmtId="0" fontId="2" fillId="10" borderId="40" xfId="2" applyFill="1" applyBorder="1" applyAlignment="1" applyProtection="1">
      <alignment horizontal="left" indent="7"/>
      <protection hidden="1"/>
    </xf>
    <xf numFmtId="0" fontId="21" fillId="10" borderId="36" xfId="2" applyFont="1" applyFill="1" applyBorder="1" applyAlignment="1" applyProtection="1">
      <alignment horizontal="left" indent="6"/>
      <protection hidden="1"/>
    </xf>
    <xf numFmtId="0" fontId="13" fillId="21" borderId="32" xfId="0" applyFont="1" applyFill="1" applyBorder="1" applyAlignment="1" applyProtection="1">
      <alignment horizontal="left" vertical="center" indent="1"/>
      <protection hidden="1"/>
    </xf>
    <xf numFmtId="0" fontId="13" fillId="21" borderId="33"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protection hidden="1"/>
    </xf>
    <xf numFmtId="0" fontId="2" fillId="10" borderId="36" xfId="2" applyFont="1" applyFill="1" applyBorder="1" applyAlignment="1" applyProtection="1">
      <alignment horizontal="left" vertical="center" wrapText="1" indent="6"/>
      <protection hidden="1"/>
    </xf>
    <xf numFmtId="0" fontId="2" fillId="10" borderId="37" xfId="2" applyFont="1" applyFill="1" applyBorder="1" applyAlignment="1" applyProtection="1">
      <alignment horizontal="left" vertical="center" wrapText="1" indent="6"/>
      <protection hidden="1"/>
    </xf>
    <xf numFmtId="0" fontId="2" fillId="10" borderId="38" xfId="2" applyFont="1" applyFill="1" applyBorder="1" applyAlignment="1" applyProtection="1">
      <alignment horizontal="left" vertical="center" wrapText="1" indent="6"/>
      <protection hidden="1"/>
    </xf>
    <xf numFmtId="0" fontId="2" fillId="10" borderId="22" xfId="2" applyFont="1" applyFill="1" applyBorder="1" applyAlignment="1" applyProtection="1">
      <alignment horizontal="left" vertical="center" wrapText="1" indent="6"/>
      <protection hidden="1"/>
    </xf>
    <xf numFmtId="0" fontId="2" fillId="10" borderId="23" xfId="2" applyFont="1" applyFill="1" applyBorder="1" applyAlignment="1" applyProtection="1">
      <alignment horizontal="left" vertical="center" wrapText="1" indent="6"/>
      <protection hidden="1"/>
    </xf>
    <xf numFmtId="0" fontId="2" fillId="10" borderId="24" xfId="2" applyFont="1" applyFill="1" applyBorder="1" applyAlignment="1" applyProtection="1">
      <alignment horizontal="left" vertical="center" wrapText="1" indent="6"/>
      <protection hidden="1"/>
    </xf>
    <xf numFmtId="0" fontId="19" fillId="21" borderId="25" xfId="2" applyFont="1" applyFill="1" applyBorder="1" applyAlignment="1" applyProtection="1">
      <alignment horizontal="left" vertical="center" wrapText="1" indent="1"/>
      <protection hidden="1"/>
    </xf>
    <xf numFmtId="0" fontId="19" fillId="21" borderId="26" xfId="2" applyFont="1" applyFill="1" applyBorder="1" applyAlignment="1" applyProtection="1">
      <alignment horizontal="left" vertical="center" wrapText="1" indent="1"/>
      <protection hidden="1"/>
    </xf>
    <xf numFmtId="0" fontId="2" fillId="11" borderId="25" xfId="2" applyFont="1" applyFill="1" applyBorder="1" applyAlignment="1" applyProtection="1">
      <alignment horizontal="left" vertical="center" wrapText="1" indent="1"/>
      <protection hidden="1"/>
    </xf>
    <xf numFmtId="0" fontId="2" fillId="11" borderId="26" xfId="2" applyFont="1" applyFill="1" applyBorder="1" applyAlignment="1" applyProtection="1">
      <alignment horizontal="left" vertical="center" wrapText="1" indent="1"/>
      <protection hidden="1"/>
    </xf>
    <xf numFmtId="0" fontId="2" fillId="11" borderId="27" xfId="2" applyFont="1" applyFill="1" applyBorder="1" applyAlignment="1" applyProtection="1">
      <alignment horizontal="left" vertical="center" wrapText="1" indent="1"/>
      <protection hidden="1"/>
    </xf>
    <xf numFmtId="0" fontId="2" fillId="10" borderId="37" xfId="2" applyFont="1" applyFill="1" applyBorder="1" applyAlignment="1" applyProtection="1">
      <alignment horizontal="left" vertical="center" indent="6"/>
      <protection hidden="1"/>
    </xf>
    <xf numFmtId="0" fontId="2" fillId="10" borderId="38" xfId="2" applyFont="1" applyFill="1" applyBorder="1" applyAlignment="1" applyProtection="1">
      <alignment horizontal="left" vertical="center" indent="6"/>
      <protection hidden="1"/>
    </xf>
    <xf numFmtId="0" fontId="2" fillId="10" borderId="39" xfId="2" applyFont="1" applyFill="1" applyBorder="1" applyAlignment="1" applyProtection="1">
      <alignment horizontal="left" vertical="center" indent="6"/>
      <protection hidden="1"/>
    </xf>
    <xf numFmtId="0" fontId="2" fillId="10" borderId="0" xfId="2" applyFont="1" applyFill="1" applyBorder="1" applyAlignment="1" applyProtection="1">
      <alignment horizontal="left" vertical="center" indent="6"/>
      <protection hidden="1"/>
    </xf>
    <xf numFmtId="0" fontId="2" fillId="10" borderId="40" xfId="2" applyFont="1" applyFill="1" applyBorder="1" applyAlignment="1" applyProtection="1">
      <alignment horizontal="left" vertical="center" indent="6"/>
      <protection hidden="1"/>
    </xf>
    <xf numFmtId="0" fontId="2" fillId="10" borderId="22" xfId="2" applyFont="1" applyFill="1" applyBorder="1" applyAlignment="1" applyProtection="1">
      <alignment horizontal="left" vertical="center" indent="6"/>
      <protection hidden="1"/>
    </xf>
    <xf numFmtId="0" fontId="2" fillId="10" borderId="23" xfId="2" applyFont="1" applyFill="1" applyBorder="1" applyAlignment="1" applyProtection="1">
      <alignment horizontal="left" vertical="center" indent="6"/>
      <protection hidden="1"/>
    </xf>
    <xf numFmtId="0" fontId="2" fillId="10" borderId="24" xfId="2" applyFont="1" applyFill="1" applyBorder="1" applyAlignment="1" applyProtection="1">
      <alignment horizontal="left" vertical="center" indent="6"/>
      <protection hidden="1"/>
    </xf>
    <xf numFmtId="0" fontId="44" fillId="21" borderId="10" xfId="0" applyFont="1" applyFill="1" applyBorder="1" applyAlignment="1">
      <alignment horizontal="left" vertical="center" wrapText="1" indent="1"/>
    </xf>
    <xf numFmtId="0" fontId="44" fillId="21" borderId="7" xfId="0" applyFont="1" applyFill="1" applyBorder="1" applyAlignment="1">
      <alignment horizontal="left" vertical="center" wrapText="1" indent="1"/>
    </xf>
    <xf numFmtId="0" fontId="21" fillId="10" borderId="25" xfId="2" applyFont="1" applyFill="1" applyBorder="1" applyAlignment="1">
      <alignment horizontal="left" vertical="center" wrapText="1" indent="1"/>
    </xf>
    <xf numFmtId="0" fontId="21" fillId="10" borderId="26" xfId="2" applyFont="1" applyFill="1" applyBorder="1" applyAlignment="1">
      <alignment horizontal="left" vertical="center" wrapText="1" indent="1"/>
    </xf>
    <xf numFmtId="0" fontId="21" fillId="10" borderId="27" xfId="2" applyFont="1" applyFill="1" applyBorder="1" applyAlignment="1">
      <alignment horizontal="left" vertical="center" wrapText="1" indent="1"/>
    </xf>
    <xf numFmtId="0" fontId="13" fillId="21" borderId="4" xfId="0" applyFont="1" applyFill="1" applyBorder="1" applyAlignment="1" applyProtection="1">
      <alignment horizontal="left" vertical="center" indent="1"/>
      <protection hidden="1"/>
    </xf>
    <xf numFmtId="0" fontId="2" fillId="10" borderId="39" xfId="2" applyFill="1" applyBorder="1" applyAlignment="1" applyProtection="1">
      <alignment horizontal="left" indent="6"/>
      <protection hidden="1"/>
    </xf>
    <xf numFmtId="0" fontId="2" fillId="10" borderId="0" xfId="2" applyFill="1" applyBorder="1" applyAlignment="1" applyProtection="1">
      <alignment horizontal="left" indent="6"/>
      <protection hidden="1"/>
    </xf>
    <xf numFmtId="0" fontId="2" fillId="10" borderId="40" xfId="2" applyFill="1" applyBorder="1" applyAlignment="1" applyProtection="1">
      <alignment horizontal="left" indent="6"/>
      <protection hidden="1"/>
    </xf>
    <xf numFmtId="0" fontId="20" fillId="23" borderId="0" xfId="2" applyFont="1" applyFill="1" applyBorder="1" applyAlignment="1" applyProtection="1">
      <alignment horizontal="left" wrapText="1" indent="6"/>
      <protection hidden="1"/>
    </xf>
    <xf numFmtId="0" fontId="2" fillId="10" borderId="39" xfId="0" applyFont="1" applyFill="1" applyBorder="1" applyAlignment="1" applyProtection="1">
      <alignment horizontal="left" vertical="center" wrapText="1" indent="8"/>
      <protection hidden="1"/>
    </xf>
    <xf numFmtId="0" fontId="2" fillId="10" borderId="0" xfId="0" applyFont="1" applyFill="1" applyBorder="1" applyAlignment="1" applyProtection="1">
      <alignment horizontal="left" vertical="center" wrapText="1" indent="8"/>
      <protection hidden="1"/>
    </xf>
    <xf numFmtId="0" fontId="2" fillId="10" borderId="40" xfId="0" applyFont="1" applyFill="1" applyBorder="1" applyAlignment="1" applyProtection="1">
      <alignment horizontal="left" vertical="center" wrapText="1" indent="8"/>
      <protection hidden="1"/>
    </xf>
    <xf numFmtId="0" fontId="2" fillId="10" borderId="22" xfId="0" applyFont="1" applyFill="1" applyBorder="1" applyAlignment="1" applyProtection="1">
      <alignment horizontal="left" vertical="center" wrapText="1" indent="8"/>
      <protection hidden="1"/>
    </xf>
    <xf numFmtId="0" fontId="2" fillId="10" borderId="23" xfId="0" applyFont="1" applyFill="1" applyBorder="1" applyAlignment="1" applyProtection="1">
      <alignment horizontal="left" vertical="center" wrapText="1" indent="8"/>
      <protection hidden="1"/>
    </xf>
    <xf numFmtId="0" fontId="54" fillId="4" borderId="10" xfId="0" applyFont="1" applyFill="1" applyBorder="1" applyAlignment="1" applyProtection="1">
      <alignment horizontal="center" vertical="center" wrapText="1"/>
      <protection hidden="1"/>
    </xf>
    <xf numFmtId="0" fontId="54" fillId="4" borderId="8" xfId="0" applyFont="1" applyFill="1" applyBorder="1" applyAlignment="1" applyProtection="1">
      <alignment horizontal="center" vertical="center" wrapText="1"/>
      <protection hidden="1"/>
    </xf>
    <xf numFmtId="0" fontId="54" fillId="20" borderId="28" xfId="0" applyFont="1" applyFill="1" applyBorder="1" applyAlignment="1" applyProtection="1">
      <alignment horizontal="center" vertical="center" wrapText="1"/>
      <protection locked="0"/>
    </xf>
    <xf numFmtId="0" fontId="2" fillId="10" borderId="43" xfId="2" applyFill="1" applyBorder="1" applyAlignment="1" applyProtection="1">
      <alignment horizontal="left" vertical="center" wrapText="1" indent="6"/>
      <protection hidden="1"/>
    </xf>
    <xf numFmtId="0" fontId="2" fillId="10" borderId="42" xfId="2" applyFill="1" applyBorder="1" applyAlignment="1" applyProtection="1">
      <alignment horizontal="left" vertical="center" wrapText="1" indent="6"/>
      <protection hidden="1"/>
    </xf>
    <xf numFmtId="0" fontId="2" fillId="10" borderId="44" xfId="2" applyFill="1" applyBorder="1" applyAlignment="1" applyProtection="1">
      <alignment horizontal="left" vertical="center" wrapText="1" indent="6"/>
      <protection hidden="1"/>
    </xf>
    <xf numFmtId="0" fontId="2" fillId="10" borderId="47" xfId="2" applyFill="1" applyBorder="1" applyAlignment="1" applyProtection="1">
      <alignment horizontal="left" vertical="center" indent="6"/>
      <protection hidden="1"/>
    </xf>
    <xf numFmtId="0" fontId="2" fillId="10" borderId="6" xfId="2" applyFill="1" applyBorder="1" applyAlignment="1" applyProtection="1">
      <alignment horizontal="left" vertical="center" indent="6"/>
      <protection hidden="1"/>
    </xf>
    <xf numFmtId="0" fontId="2" fillId="10" borderId="48" xfId="2" applyFill="1" applyBorder="1" applyAlignment="1" applyProtection="1">
      <alignment horizontal="left" vertical="center" indent="6"/>
      <protection hidden="1"/>
    </xf>
    <xf numFmtId="0" fontId="2" fillId="0" borderId="25" xfId="2" applyFont="1" applyFill="1" applyBorder="1" applyAlignment="1" applyProtection="1">
      <alignment horizontal="left" vertical="center" wrapText="1" indent="1"/>
      <protection hidden="1"/>
    </xf>
    <xf numFmtId="0" fontId="2" fillId="0" borderId="26" xfId="2" applyFont="1" applyFill="1" applyBorder="1" applyAlignment="1" applyProtection="1">
      <alignment horizontal="left" vertical="center" wrapText="1" indent="1"/>
      <protection hidden="1"/>
    </xf>
    <xf numFmtId="0" fontId="2" fillId="0" borderId="27" xfId="2" applyFont="1" applyFill="1" applyBorder="1" applyAlignment="1" applyProtection="1">
      <alignment horizontal="left" vertical="center" wrapText="1" indent="1"/>
      <protection hidden="1"/>
    </xf>
    <xf numFmtId="0" fontId="62" fillId="2" borderId="0" xfId="2" applyFont="1" applyFill="1" applyBorder="1" applyAlignment="1" applyProtection="1">
      <alignment horizontal="right" vertical="center" wrapText="1"/>
      <protection hidden="1"/>
    </xf>
    <xf numFmtId="0" fontId="20" fillId="2" borderId="0" xfId="0" applyFont="1" applyFill="1" applyBorder="1" applyAlignment="1" applyProtection="1">
      <alignment horizontal="left" vertical="center" wrapText="1" indent="5"/>
      <protection hidden="1"/>
    </xf>
    <xf numFmtId="0" fontId="21" fillId="2" borderId="0" xfId="0" applyFont="1" applyFill="1" applyBorder="1" applyAlignment="1" applyProtection="1">
      <alignment horizontal="left" vertical="center" wrapText="1" indent="5"/>
      <protection hidden="1"/>
    </xf>
    <xf numFmtId="0" fontId="2" fillId="10" borderId="39" xfId="2" applyFill="1" applyBorder="1" applyAlignment="1" applyProtection="1">
      <alignment horizontal="left" vertical="center" indent="8"/>
      <protection hidden="1"/>
    </xf>
    <xf numFmtId="0" fontId="2" fillId="10" borderId="0" xfId="2" applyFill="1" applyBorder="1" applyAlignment="1" applyProtection="1">
      <alignment horizontal="left" vertical="center" indent="8"/>
      <protection hidden="1"/>
    </xf>
    <xf numFmtId="0" fontId="2" fillId="10" borderId="40" xfId="2" applyFill="1" applyBorder="1" applyAlignment="1" applyProtection="1">
      <alignment horizontal="left" vertical="center" indent="8"/>
      <protection hidden="1"/>
    </xf>
    <xf numFmtId="0" fontId="2" fillId="10" borderId="22" xfId="2" applyFill="1" applyBorder="1" applyAlignment="1" applyProtection="1">
      <alignment horizontal="left" vertical="center" indent="8"/>
      <protection hidden="1"/>
    </xf>
    <xf numFmtId="0" fontId="2" fillId="10" borderId="23" xfId="2" applyFill="1" applyBorder="1" applyAlignment="1" applyProtection="1">
      <alignment horizontal="left" vertical="center" indent="8"/>
      <protection hidden="1"/>
    </xf>
    <xf numFmtId="0" fontId="2" fillId="10" borderId="24" xfId="2" applyFill="1" applyBorder="1" applyAlignment="1" applyProtection="1">
      <alignment horizontal="left" vertical="center" indent="8"/>
      <protection hidden="1"/>
    </xf>
    <xf numFmtId="0" fontId="2" fillId="10" borderId="36" xfId="2" applyFill="1" applyBorder="1" applyAlignment="1" applyProtection="1">
      <alignment horizontal="left" indent="7"/>
      <protection hidden="1"/>
    </xf>
    <xf numFmtId="0" fontId="2" fillId="10" borderId="37" xfId="2" applyFill="1" applyBorder="1" applyAlignment="1" applyProtection="1">
      <alignment horizontal="left" indent="7"/>
      <protection hidden="1"/>
    </xf>
    <xf numFmtId="0" fontId="2" fillId="10" borderId="38" xfId="2" applyFill="1" applyBorder="1" applyAlignment="1" applyProtection="1">
      <alignment horizontal="left" indent="7"/>
      <protection hidden="1"/>
    </xf>
    <xf numFmtId="0" fontId="21" fillId="10" borderId="78" xfId="2" applyFont="1" applyFill="1" applyBorder="1" applyAlignment="1" applyProtection="1">
      <alignment horizontal="left" vertical="center" wrapText="1" indent="1"/>
      <protection hidden="1"/>
    </xf>
    <xf numFmtId="0" fontId="21" fillId="10" borderId="79" xfId="2" applyFont="1" applyFill="1" applyBorder="1" applyAlignment="1" applyProtection="1">
      <alignment horizontal="left" vertical="center" wrapText="1" indent="1"/>
      <protection hidden="1"/>
    </xf>
    <xf numFmtId="0" fontId="21" fillId="10" borderId="83" xfId="2" applyFont="1" applyFill="1" applyBorder="1" applyAlignment="1" applyProtection="1">
      <alignment horizontal="left" vertical="center" wrapText="1" indent="1"/>
      <protection hidden="1"/>
    </xf>
    <xf numFmtId="0" fontId="62" fillId="2" borderId="6" xfId="2" applyFont="1" applyFill="1" applyBorder="1" applyAlignment="1" applyProtection="1">
      <alignment horizontal="right" vertical="center" wrapText="1"/>
      <protection hidden="1"/>
    </xf>
    <xf numFmtId="0" fontId="57" fillId="11" borderId="43" xfId="2" applyFont="1" applyFill="1" applyBorder="1" applyAlignment="1" applyProtection="1">
      <alignment horizontal="left" vertical="center" wrapText="1" indent="1"/>
      <protection hidden="1"/>
    </xf>
    <xf numFmtId="0" fontId="57" fillId="11" borderId="42" xfId="2" applyFont="1" applyFill="1" applyBorder="1" applyAlignment="1" applyProtection="1">
      <alignment horizontal="left" vertical="center" wrapText="1" indent="1"/>
      <protection hidden="1"/>
    </xf>
    <xf numFmtId="0" fontId="57" fillId="11" borderId="44" xfId="2" applyFont="1" applyFill="1" applyBorder="1" applyAlignment="1" applyProtection="1">
      <alignment horizontal="left" vertical="center" wrapText="1" indent="1"/>
      <protection hidden="1"/>
    </xf>
    <xf numFmtId="0" fontId="57" fillId="11" borderId="47" xfId="2" applyFont="1" applyFill="1" applyBorder="1" applyAlignment="1" applyProtection="1">
      <alignment horizontal="left" vertical="center" wrapText="1" indent="1"/>
      <protection hidden="1"/>
    </xf>
    <xf numFmtId="0" fontId="57" fillId="11" borderId="6" xfId="2" applyFont="1" applyFill="1" applyBorder="1" applyAlignment="1" applyProtection="1">
      <alignment horizontal="left" vertical="center" wrapText="1" indent="1"/>
      <protection hidden="1"/>
    </xf>
    <xf numFmtId="0" fontId="57" fillId="11" borderId="48" xfId="2" applyFont="1" applyFill="1" applyBorder="1" applyAlignment="1" applyProtection="1">
      <alignment horizontal="left" vertical="center" wrapText="1" indent="1"/>
      <protection hidden="1"/>
    </xf>
    <xf numFmtId="0" fontId="2" fillId="10" borderId="39" xfId="2" applyFont="1" applyFill="1" applyBorder="1" applyAlignment="1" applyProtection="1">
      <alignment horizontal="left" vertical="center" indent="8"/>
      <protection hidden="1"/>
    </xf>
    <xf numFmtId="0" fontId="2" fillId="10" borderId="0" xfId="2" applyFont="1" applyFill="1" applyBorder="1" applyAlignment="1" applyProtection="1">
      <alignment horizontal="left" vertical="center" indent="8"/>
      <protection hidden="1"/>
    </xf>
    <xf numFmtId="0" fontId="2" fillId="10" borderId="40" xfId="2" applyFont="1" applyFill="1" applyBorder="1" applyAlignment="1" applyProtection="1">
      <alignment horizontal="left" vertical="center" indent="8"/>
      <protection hidden="1"/>
    </xf>
    <xf numFmtId="0" fontId="21" fillId="10" borderId="36" xfId="2" applyFont="1" applyFill="1" applyBorder="1" applyAlignment="1" applyProtection="1">
      <alignment horizontal="left" indent="7"/>
      <protection hidden="1"/>
    </xf>
    <xf numFmtId="0" fontId="21" fillId="10" borderId="37" xfId="2" applyFont="1" applyFill="1" applyBorder="1" applyAlignment="1" applyProtection="1">
      <alignment horizontal="left" indent="7"/>
      <protection hidden="1"/>
    </xf>
    <xf numFmtId="0" fontId="21" fillId="10" borderId="38" xfId="2" applyFont="1" applyFill="1" applyBorder="1" applyAlignment="1" applyProtection="1">
      <alignment horizontal="left" indent="7"/>
      <protection hidden="1"/>
    </xf>
    <xf numFmtId="0" fontId="14" fillId="20" borderId="4" xfId="0" applyFont="1" applyFill="1" applyBorder="1" applyAlignment="1" applyProtection="1">
      <alignment horizontal="center" vertical="center" wrapText="1"/>
      <protection locked="0" hidden="1"/>
    </xf>
    <xf numFmtId="0" fontId="14" fillId="29" borderId="4" xfId="0" applyFont="1" applyFill="1" applyBorder="1" applyAlignment="1" applyProtection="1">
      <alignment horizontal="left" vertical="center" wrapText="1"/>
      <protection hidden="1"/>
    </xf>
    <xf numFmtId="0" fontId="44" fillId="21" borderId="4" xfId="0" applyFont="1" applyFill="1" applyBorder="1" applyAlignment="1" applyProtection="1">
      <alignment horizontal="left" vertical="center" wrapText="1"/>
      <protection hidden="1"/>
    </xf>
    <xf numFmtId="0" fontId="44" fillId="21" borderId="34" xfId="0" applyFont="1" applyFill="1" applyBorder="1" applyAlignment="1" applyProtection="1">
      <alignment horizontal="center" vertical="center" wrapText="1"/>
      <protection hidden="1"/>
    </xf>
    <xf numFmtId="0" fontId="44" fillId="21" borderId="28" xfId="0" applyFont="1" applyFill="1" applyBorder="1" applyAlignment="1" applyProtection="1">
      <alignment horizontal="center" vertical="center" wrapText="1"/>
      <protection hidden="1"/>
    </xf>
    <xf numFmtId="0" fontId="14" fillId="15" borderId="4" xfId="0" applyFont="1" applyFill="1" applyBorder="1" applyAlignment="1" applyProtection="1">
      <alignment horizontal="left" vertical="center" wrapText="1"/>
      <protection hidden="1"/>
    </xf>
    <xf numFmtId="0" fontId="46" fillId="16" borderId="4" xfId="0" applyFont="1" applyFill="1" applyBorder="1" applyAlignment="1" applyProtection="1">
      <alignment horizontal="center" vertical="center" wrapText="1"/>
      <protection hidden="1"/>
    </xf>
    <xf numFmtId="0" fontId="45" fillId="16" borderId="30" xfId="2" applyFont="1" applyFill="1" applyBorder="1" applyAlignment="1">
      <alignment horizontal="left" vertical="center"/>
    </xf>
    <xf numFmtId="0" fontId="45" fillId="16" borderId="0" xfId="2" applyFont="1" applyFill="1" applyBorder="1" applyAlignment="1">
      <alignment horizontal="left" vertical="center"/>
    </xf>
    <xf numFmtId="0" fontId="5" fillId="16" borderId="0" xfId="2" applyFont="1" applyFill="1" applyBorder="1" applyAlignment="1" applyProtection="1">
      <alignment horizontal="left" vertical="center" wrapText="1"/>
      <protection hidden="1"/>
    </xf>
    <xf numFmtId="0" fontId="5" fillId="16" borderId="32"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46" fillId="16" borderId="29" xfId="0" applyFont="1" applyFill="1" applyBorder="1" applyAlignment="1" applyProtection="1">
      <alignment horizontal="left" vertical="center" indent="1"/>
      <protection hidden="1"/>
    </xf>
    <xf numFmtId="0" fontId="46" fillId="16" borderId="31" xfId="0" applyFont="1" applyFill="1" applyBorder="1" applyAlignment="1" applyProtection="1">
      <alignment horizontal="left" vertical="center" indent="1"/>
      <protection hidden="1"/>
    </xf>
    <xf numFmtId="0" fontId="46" fillId="16" borderId="32" xfId="0" applyFont="1" applyFill="1" applyBorder="1" applyAlignment="1" applyProtection="1">
      <alignment horizontal="left" vertical="center" indent="1"/>
      <protection hidden="1"/>
    </xf>
    <xf numFmtId="0" fontId="46" fillId="16" borderId="33" xfId="0" applyFont="1" applyFill="1" applyBorder="1" applyAlignment="1" applyProtection="1">
      <alignment horizontal="left" vertical="center" indent="1"/>
      <protection hidden="1"/>
    </xf>
    <xf numFmtId="0" fontId="51" fillId="10" borderId="4" xfId="3" applyFont="1" applyFill="1" applyBorder="1" applyAlignment="1">
      <alignment horizontal="left" vertical="center" indent="1"/>
    </xf>
    <xf numFmtId="0" fontId="2" fillId="4" borderId="10" xfId="4" applyNumberFormat="1" applyFont="1" applyFill="1" applyBorder="1" applyAlignment="1" applyProtection="1">
      <alignment horizontal="center" vertical="center"/>
      <protection hidden="1"/>
    </xf>
    <xf numFmtId="0" fontId="2" fillId="4" borderId="8" xfId="4" applyNumberFormat="1" applyFont="1" applyFill="1" applyBorder="1" applyAlignment="1" applyProtection="1">
      <alignment horizontal="center" vertical="center"/>
      <protection hidden="1"/>
    </xf>
    <xf numFmtId="0" fontId="21" fillId="22" borderId="0" xfId="2" applyFont="1" applyFill="1" applyAlignment="1" applyProtection="1">
      <alignment horizontal="left" vertical="center" wrapText="1" indent="5"/>
      <protection hidden="1"/>
    </xf>
    <xf numFmtId="0" fontId="13" fillId="17" borderId="8" xfId="4" applyFont="1" applyFill="1" applyBorder="1" applyAlignment="1" applyProtection="1">
      <alignment horizontal="center" vertical="center" wrapText="1"/>
      <protection hidden="1"/>
    </xf>
    <xf numFmtId="0" fontId="13" fillId="17" borderId="10" xfId="4" applyFont="1" applyFill="1" applyBorder="1" applyAlignment="1" applyProtection="1">
      <alignment horizontal="center" vertical="center" wrapText="1"/>
      <protection hidden="1"/>
    </xf>
    <xf numFmtId="0" fontId="2" fillId="4" borderId="10" xfId="4" applyNumberFormat="1" applyFont="1" applyFill="1" applyBorder="1" applyAlignment="1" applyProtection="1">
      <alignment horizontal="center" vertical="center" wrapText="1"/>
      <protection hidden="1"/>
    </xf>
    <xf numFmtId="0" fontId="2" fillId="4" borderId="8" xfId="4" applyNumberFormat="1" applyFont="1" applyFill="1" applyBorder="1" applyAlignment="1" applyProtection="1">
      <alignment horizontal="center" vertical="center" wrapText="1"/>
      <protection hidden="1"/>
    </xf>
    <xf numFmtId="0" fontId="75" fillId="30" borderId="4" xfId="0" applyFont="1" applyFill="1" applyBorder="1" applyAlignment="1">
      <alignment horizontal="center" vertical="center" wrapText="1"/>
    </xf>
    <xf numFmtId="0" fontId="75" fillId="15" borderId="4" xfId="0" applyFont="1" applyFill="1" applyBorder="1" applyAlignment="1">
      <alignment horizontal="center" vertical="center" wrapText="1"/>
    </xf>
    <xf numFmtId="0" fontId="2" fillId="22" borderId="3" xfId="2" applyFill="1" applyBorder="1" applyAlignment="1" applyProtection="1">
      <alignment horizontal="center" vertical="center"/>
      <protection hidden="1"/>
    </xf>
    <xf numFmtId="0" fontId="44" fillId="16" borderId="4" xfId="0" applyFont="1" applyFill="1" applyBorder="1" applyAlignment="1">
      <alignment horizontal="center" vertical="center" wrapText="1"/>
    </xf>
    <xf numFmtId="0" fontId="44" fillId="16" borderId="10" xfId="0" applyFont="1" applyFill="1" applyBorder="1" applyAlignment="1">
      <alignment horizontal="center" vertical="center" wrapText="1"/>
    </xf>
    <xf numFmtId="0" fontId="44" fillId="16" borderId="8" xfId="0" applyFont="1" applyFill="1" applyBorder="1" applyAlignment="1">
      <alignment horizontal="center" vertical="center" wrapText="1"/>
    </xf>
    <xf numFmtId="0" fontId="75" fillId="29" borderId="4" xfId="0" applyFont="1" applyFill="1" applyBorder="1" applyAlignment="1">
      <alignment horizontal="center" vertical="center" wrapText="1"/>
    </xf>
    <xf numFmtId="0" fontId="35" fillId="16" borderId="0" xfId="0" applyFont="1" applyFill="1" applyBorder="1" applyAlignment="1" applyProtection="1">
      <alignment horizontal="left" vertical="center" indent="1"/>
      <protection hidden="1"/>
    </xf>
    <xf numFmtId="0" fontId="147" fillId="16" borderId="0" xfId="0" applyFont="1" applyFill="1" applyBorder="1" applyAlignment="1" applyProtection="1">
      <alignment horizontal="left" vertical="center" indent="1"/>
      <protection hidden="1"/>
    </xf>
    <xf numFmtId="0" fontId="32" fillId="17" borderId="4" xfId="4" applyFont="1" applyFill="1" applyBorder="1" applyAlignment="1" applyProtection="1">
      <alignment horizontal="center" vertical="center" wrapText="1"/>
      <protection hidden="1"/>
    </xf>
    <xf numFmtId="0" fontId="13" fillId="16" borderId="1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center" vertical="center"/>
      <protection hidden="1"/>
    </xf>
    <xf numFmtId="0" fontId="2" fillId="20" borderId="4" xfId="4" applyNumberFormat="1" applyFont="1" applyFill="1" applyBorder="1" applyAlignment="1" applyProtection="1">
      <alignment horizontal="center" vertical="center" wrapText="1"/>
      <protection locked="0"/>
    </xf>
    <xf numFmtId="0" fontId="13" fillId="17" borderId="4" xfId="4" applyFont="1" applyFill="1" applyBorder="1" applyAlignment="1" applyProtection="1">
      <alignment horizontal="center" vertical="distributed" wrapText="1"/>
      <protection hidden="1"/>
    </xf>
    <xf numFmtId="0" fontId="13" fillId="17" borderId="10" xfId="4" applyFont="1" applyFill="1" applyBorder="1" applyAlignment="1" applyProtection="1">
      <alignment horizontal="center" vertical="distributed" wrapText="1"/>
      <protection hidden="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2" fillId="20" borderId="34" xfId="4" applyNumberFormat="1" applyFont="1" applyFill="1" applyBorder="1" applyAlignment="1" applyProtection="1">
      <alignment horizontal="center"/>
      <protection locked="0"/>
    </xf>
    <xf numFmtId="0" fontId="2" fillId="20" borderId="28" xfId="4" applyNumberFormat="1" applyFont="1" applyFill="1" applyBorder="1" applyAlignment="1" applyProtection="1">
      <alignment horizontal="center"/>
      <protection locked="0"/>
    </xf>
    <xf numFmtId="0" fontId="2" fillId="20" borderId="34" xfId="4" applyNumberFormat="1" applyFont="1" applyFill="1" applyBorder="1" applyAlignment="1" applyProtection="1">
      <alignment horizontal="center" vertical="center"/>
      <protection locked="0"/>
    </xf>
    <xf numFmtId="0" fontId="2" fillId="20" borderId="28" xfId="4" applyNumberFormat="1" applyFont="1" applyFill="1" applyBorder="1" applyAlignment="1" applyProtection="1">
      <alignment horizontal="center" vertical="center"/>
      <protection locked="0"/>
    </xf>
    <xf numFmtId="0" fontId="10" fillId="16" borderId="0" xfId="0" applyFont="1" applyFill="1" applyBorder="1" applyAlignment="1" applyProtection="1">
      <alignment horizontal="left" vertical="center" indent="1"/>
      <protection hidden="1"/>
    </xf>
    <xf numFmtId="0" fontId="44" fillId="16" borderId="7" xfId="0" applyFont="1" applyFill="1" applyBorder="1" applyAlignment="1">
      <alignment horizontal="center" vertical="center" wrapText="1"/>
    </xf>
    <xf numFmtId="0" fontId="2" fillId="4" borderId="29" xfId="0" applyFont="1" applyFill="1" applyBorder="1" applyAlignment="1" applyProtection="1">
      <alignment horizontal="left" vertical="center" wrapText="1" indent="1"/>
      <protection hidden="1"/>
    </xf>
    <xf numFmtId="0" fontId="2" fillId="4" borderId="30" xfId="0" applyFont="1" applyFill="1" applyBorder="1" applyAlignment="1" applyProtection="1">
      <alignment horizontal="left" vertical="center" wrapText="1" indent="1"/>
      <protection hidden="1"/>
    </xf>
    <xf numFmtId="0" fontId="2" fillId="4" borderId="31" xfId="0" applyFont="1" applyFill="1" applyBorder="1" applyAlignment="1" applyProtection="1">
      <alignment horizontal="left" vertical="center" wrapText="1" indent="1"/>
      <protection hidden="1"/>
    </xf>
    <xf numFmtId="0" fontId="13" fillId="17" borderId="7" xfId="4" applyFont="1" applyFill="1" applyBorder="1" applyAlignment="1" applyProtection="1">
      <alignment horizontal="center" vertical="center" wrapText="1"/>
      <protection hidden="1"/>
    </xf>
    <xf numFmtId="2" fontId="2" fillId="4" borderId="34" xfId="4" applyNumberFormat="1" applyFont="1" applyFill="1" applyBorder="1" applyAlignment="1" applyProtection="1">
      <alignment horizontal="center" vertical="center"/>
      <protection hidden="1"/>
    </xf>
    <xf numFmtId="2" fontId="2" fillId="4" borderId="28" xfId="4" applyNumberFormat="1" applyFont="1" applyFill="1" applyBorder="1" applyAlignment="1" applyProtection="1">
      <alignment horizontal="center" vertical="center"/>
      <protection hidden="1"/>
    </xf>
    <xf numFmtId="0" fontId="11" fillId="16" borderId="0" xfId="0" applyFont="1" applyFill="1" applyBorder="1" applyAlignment="1" applyProtection="1">
      <alignment horizontal="center" vertical="center"/>
      <protection hidden="1"/>
    </xf>
    <xf numFmtId="0" fontId="11" fillId="16" borderId="3" xfId="0" applyFont="1" applyFill="1" applyBorder="1" applyAlignment="1" applyProtection="1">
      <alignment horizontal="center" vertical="center"/>
      <protection hidden="1"/>
    </xf>
    <xf numFmtId="0" fontId="32" fillId="17" borderId="29" xfId="4" applyFont="1" applyFill="1" applyBorder="1" applyAlignment="1" applyProtection="1">
      <alignment horizontal="center" vertical="distributed" wrapText="1"/>
      <protection hidden="1"/>
    </xf>
    <xf numFmtId="0" fontId="32" fillId="17" borderId="30" xfId="4" applyFont="1" applyFill="1" applyBorder="1" applyAlignment="1" applyProtection="1">
      <alignment horizontal="center" vertical="distributed" wrapText="1"/>
      <protection hidden="1"/>
    </xf>
    <xf numFmtId="0" fontId="13" fillId="17" borderId="30" xfId="4" applyFont="1" applyFill="1" applyBorder="1" applyAlignment="1" applyProtection="1">
      <alignment horizontal="center" vertical="center" wrapText="1"/>
      <protection hidden="1"/>
    </xf>
    <xf numFmtId="0" fontId="13" fillId="17" borderId="3" xfId="4" applyFont="1" applyFill="1" applyBorder="1" applyAlignment="1" applyProtection="1">
      <alignment horizontal="center" vertical="center" wrapText="1"/>
      <protection hidden="1"/>
    </xf>
    <xf numFmtId="0" fontId="13" fillId="17" borderId="31" xfId="4" applyNumberFormat="1" applyFont="1" applyFill="1" applyBorder="1" applyAlignment="1" applyProtection="1">
      <alignment horizontal="center" vertical="center" wrapText="1"/>
      <protection hidden="1"/>
    </xf>
    <xf numFmtId="0" fontId="13" fillId="17" borderId="33" xfId="4" applyNumberFormat="1" applyFont="1" applyFill="1" applyBorder="1" applyAlignment="1" applyProtection="1">
      <alignment horizontal="center" vertical="center" wrapText="1"/>
      <protection hidden="1"/>
    </xf>
    <xf numFmtId="0" fontId="2" fillId="20" borderId="29" xfId="4" applyNumberFormat="1" applyFont="1" applyFill="1" applyBorder="1" applyAlignment="1" applyProtection="1">
      <alignment horizontal="center" vertical="center"/>
      <protection locked="0"/>
    </xf>
    <xf numFmtId="0" fontId="2" fillId="20" borderId="30" xfId="4" applyNumberFormat="1" applyFont="1" applyFill="1" applyBorder="1" applyAlignment="1" applyProtection="1">
      <alignment horizontal="center" vertical="center"/>
      <protection locked="0"/>
    </xf>
    <xf numFmtId="0" fontId="32" fillId="17" borderId="10" xfId="4" applyFont="1" applyFill="1" applyBorder="1" applyAlignment="1" applyProtection="1">
      <alignment horizontal="center" vertical="distributed" wrapText="1"/>
      <protection hidden="1"/>
    </xf>
    <xf numFmtId="0" fontId="32" fillId="17" borderId="7" xfId="4" applyFont="1" applyFill="1" applyBorder="1" applyAlignment="1" applyProtection="1">
      <alignment horizontal="center" vertical="distributed" wrapText="1"/>
      <protection hidden="1"/>
    </xf>
    <xf numFmtId="0" fontId="2" fillId="24" borderId="3" xfId="2" applyFill="1" applyBorder="1" applyAlignment="1" applyProtection="1">
      <alignment horizontal="center" vertical="center"/>
      <protection hidden="1"/>
    </xf>
    <xf numFmtId="0" fontId="13" fillId="17" borderId="4" xfId="4" applyFont="1" applyFill="1" applyBorder="1" applyAlignment="1" applyProtection="1">
      <alignment horizontal="center" vertical="center" wrapText="1"/>
      <protection hidden="1"/>
    </xf>
    <xf numFmtId="0" fontId="13" fillId="16" borderId="8" xfId="0" applyFont="1" applyFill="1" applyBorder="1" applyAlignment="1" applyProtection="1">
      <alignment horizontal="center" vertical="center"/>
      <protection hidden="1"/>
    </xf>
    <xf numFmtId="0" fontId="21" fillId="24" borderId="0" xfId="2" applyFont="1" applyFill="1" applyAlignment="1" applyProtection="1">
      <alignment horizontal="left" vertical="center" wrapText="1" indent="5"/>
      <protection hidden="1"/>
    </xf>
    <xf numFmtId="0" fontId="2" fillId="18" borderId="25" xfId="3" applyFont="1" applyFill="1" applyBorder="1" applyAlignment="1">
      <alignment horizontal="center" vertical="center"/>
    </xf>
    <xf numFmtId="0" fontId="2" fillId="18" borderId="26" xfId="3" applyFont="1" applyFill="1" applyBorder="1" applyAlignment="1">
      <alignment horizontal="center" vertical="center"/>
    </xf>
    <xf numFmtId="0" fontId="2" fillId="18" borderId="27" xfId="3" applyFont="1" applyFill="1" applyBorder="1" applyAlignment="1">
      <alignment horizontal="center" vertical="center"/>
    </xf>
    <xf numFmtId="0" fontId="19" fillId="16" borderId="25" xfId="2" applyFont="1" applyFill="1" applyBorder="1" applyAlignment="1" applyProtection="1">
      <alignment horizontal="left" vertical="center" wrapText="1" indent="1"/>
      <protection hidden="1"/>
    </xf>
    <xf numFmtId="0" fontId="19" fillId="16" borderId="26" xfId="2" applyFont="1" applyFill="1" applyBorder="1" applyAlignment="1" applyProtection="1">
      <alignment horizontal="left" vertical="center" wrapText="1" indent="1"/>
      <protection hidden="1"/>
    </xf>
    <xf numFmtId="0" fontId="8" fillId="18" borderId="26" xfId="2" applyFont="1" applyFill="1" applyBorder="1" applyAlignment="1" applyProtection="1">
      <alignment horizontal="center" vertical="center"/>
      <protection hidden="1"/>
    </xf>
    <xf numFmtId="0" fontId="8" fillId="20" borderId="5" xfId="2" applyFont="1" applyFill="1" applyBorder="1" applyAlignment="1" applyProtection="1">
      <alignment horizontal="center" vertical="center"/>
      <protection locked="0"/>
    </xf>
    <xf numFmtId="0" fontId="2" fillId="4" borderId="4" xfId="4" applyNumberFormat="1" applyFont="1" applyFill="1" applyBorder="1" applyAlignment="1" applyProtection="1">
      <alignment horizontal="center" vertical="center"/>
      <protection hidden="1"/>
    </xf>
    <xf numFmtId="0" fontId="2" fillId="4" borderId="34" xfId="4" applyNumberFormat="1" applyFont="1" applyFill="1" applyBorder="1" applyAlignment="1" applyProtection="1">
      <alignment horizontal="center" vertical="center"/>
      <protection hidden="1"/>
    </xf>
    <xf numFmtId="0" fontId="2" fillId="10" borderId="39"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40" xfId="2" applyFill="1" applyBorder="1" applyAlignment="1" applyProtection="1">
      <alignment horizontal="left" indent="8"/>
      <protection hidden="1"/>
    </xf>
    <xf numFmtId="0" fontId="2" fillId="10" borderId="22" xfId="2" applyFill="1" applyBorder="1" applyAlignment="1" applyProtection="1">
      <alignment horizontal="left" indent="8"/>
      <protection hidden="1"/>
    </xf>
    <xf numFmtId="0" fontId="2" fillId="10" borderId="23" xfId="2" applyFill="1" applyBorder="1" applyAlignment="1" applyProtection="1">
      <alignment horizontal="left" indent="8"/>
      <protection hidden="1"/>
    </xf>
    <xf numFmtId="0" fontId="2" fillId="10" borderId="24" xfId="2" applyFill="1" applyBorder="1" applyAlignment="1" applyProtection="1">
      <alignment horizontal="left" indent="8"/>
      <protection hidden="1"/>
    </xf>
    <xf numFmtId="0" fontId="20" fillId="24" borderId="0" xfId="0" applyFont="1" applyFill="1" applyBorder="1" applyAlignment="1" applyProtection="1">
      <alignment horizontal="left" vertical="center" wrapText="1" indent="5"/>
      <protection hidden="1"/>
    </xf>
    <xf numFmtId="0" fontId="21" fillId="24" borderId="0" xfId="0" applyFont="1" applyFill="1" applyBorder="1" applyAlignment="1" applyProtection="1">
      <alignment horizontal="left" vertical="center" wrapText="1" indent="5"/>
      <protection hidden="1"/>
    </xf>
    <xf numFmtId="0" fontId="13" fillId="17" borderId="31" xfId="4" applyFont="1" applyFill="1" applyBorder="1" applyAlignment="1" applyProtection="1">
      <alignment horizontal="center" vertical="center" wrapText="1"/>
      <protection hidden="1"/>
    </xf>
    <xf numFmtId="0" fontId="13" fillId="17" borderId="33" xfId="4" applyFont="1" applyFill="1" applyBorder="1" applyAlignment="1" applyProtection="1">
      <alignment horizontal="center" vertical="center" wrapText="1"/>
      <protection hidden="1"/>
    </xf>
    <xf numFmtId="0" fontId="2" fillId="4" borderId="4" xfId="2" applyFont="1" applyFill="1" applyBorder="1" applyAlignment="1" applyProtection="1">
      <alignment horizontal="left" vertical="center" wrapText="1" indent="1"/>
      <protection hidden="1"/>
    </xf>
    <xf numFmtId="0" fontId="2" fillId="20" borderId="4" xfId="4" applyNumberFormat="1" applyFont="1" applyFill="1" applyBorder="1" applyAlignment="1" applyProtection="1">
      <alignment horizontal="center" vertical="center"/>
      <protection locked="0"/>
    </xf>
    <xf numFmtId="0" fontId="2" fillId="4" borderId="10"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wrapText="1"/>
      <protection hidden="1"/>
    </xf>
    <xf numFmtId="0" fontId="19" fillId="16" borderId="10" xfId="2" applyFont="1" applyFill="1" applyBorder="1" applyAlignment="1" applyProtection="1">
      <alignment horizontal="left" vertical="center" wrapText="1" indent="1"/>
      <protection hidden="1"/>
    </xf>
    <xf numFmtId="0" fontId="19" fillId="16" borderId="7" xfId="2" applyFont="1" applyFill="1" applyBorder="1" applyAlignment="1" applyProtection="1">
      <alignment horizontal="left" vertical="center" wrapText="1" indent="1"/>
      <protection hidden="1"/>
    </xf>
    <xf numFmtId="0" fontId="2" fillId="4" borderId="28" xfId="2" applyFont="1" applyFill="1" applyBorder="1" applyAlignment="1" applyProtection="1">
      <alignment horizontal="left" vertical="center" wrapText="1" indent="1"/>
      <protection hidden="1"/>
    </xf>
    <xf numFmtId="0" fontId="2" fillId="4" borderId="28" xfId="4" applyNumberFormat="1" applyFont="1" applyFill="1" applyBorder="1" applyAlignment="1" applyProtection="1">
      <alignment horizontal="center" vertical="center"/>
      <protection hidden="1"/>
    </xf>
    <xf numFmtId="0" fontId="14" fillId="20" borderId="4" xfId="0" quotePrefix="1" applyFont="1" applyFill="1" applyBorder="1" applyAlignment="1" applyProtection="1">
      <alignment horizontal="center" vertical="center" wrapText="1"/>
      <protection locked="0"/>
    </xf>
    <xf numFmtId="0" fontId="2" fillId="4" borderId="10"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32" fillId="16" borderId="10" xfId="4" applyFont="1" applyFill="1" applyBorder="1" applyAlignment="1" applyProtection="1">
      <alignment horizontal="center" vertical="center" wrapText="1"/>
      <protection hidden="1"/>
    </xf>
    <xf numFmtId="0" fontId="32" fillId="16" borderId="7" xfId="4" applyFont="1" applyFill="1" applyBorder="1" applyAlignment="1" applyProtection="1">
      <alignment horizontal="center" vertical="center" wrapText="1"/>
      <protection hidden="1"/>
    </xf>
    <xf numFmtId="0" fontId="32" fillId="16" borderId="8"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11" fillId="16" borderId="10" xfId="0" applyFont="1" applyFill="1" applyBorder="1" applyAlignment="1" applyProtection="1">
      <alignment horizontal="left" vertical="center" wrapText="1" indent="1"/>
      <protection hidden="1"/>
    </xf>
    <xf numFmtId="0" fontId="11" fillId="16" borderId="7" xfId="0" applyFont="1" applyFill="1" applyBorder="1" applyAlignment="1" applyProtection="1">
      <alignment horizontal="left" vertical="center" wrapText="1" indent="1"/>
      <protection hidden="1"/>
    </xf>
    <xf numFmtId="0" fontId="11" fillId="16" borderId="8" xfId="2" applyFont="1" applyFill="1" applyBorder="1" applyAlignment="1" applyProtection="1">
      <alignment horizontal="center" vertical="center" wrapText="1"/>
      <protection hidden="1"/>
    </xf>
    <xf numFmtId="0" fontId="11" fillId="16" borderId="4" xfId="2" applyFont="1" applyFill="1" applyBorder="1" applyAlignment="1" applyProtection="1">
      <alignment horizontal="center" vertical="center" wrapText="1"/>
      <protection hidden="1"/>
    </xf>
    <xf numFmtId="0" fontId="62" fillId="2" borderId="0" xfId="2" applyFont="1" applyFill="1" applyAlignment="1" applyProtection="1">
      <alignment horizontal="right" vertical="center" wrapText="1" indent="1"/>
      <protection hidden="1"/>
    </xf>
    <xf numFmtId="0" fontId="62" fillId="2" borderId="23" xfId="2" applyFont="1" applyFill="1" applyBorder="1" applyAlignment="1" applyProtection="1">
      <alignment horizontal="right" vertical="center" wrapText="1" indent="1"/>
      <protection hidden="1"/>
    </xf>
    <xf numFmtId="0" fontId="2" fillId="10" borderId="39" xfId="2" applyFill="1" applyBorder="1" applyAlignment="1" applyProtection="1">
      <alignment horizontal="left" vertical="center" indent="7"/>
      <protection hidden="1"/>
    </xf>
    <xf numFmtId="0" fontId="2" fillId="10" borderId="0" xfId="2" applyFill="1" applyBorder="1" applyAlignment="1" applyProtection="1">
      <alignment horizontal="left" vertical="center" indent="7"/>
      <protection hidden="1"/>
    </xf>
    <xf numFmtId="0" fontId="2" fillId="10" borderId="40" xfId="2" applyFill="1" applyBorder="1" applyAlignment="1" applyProtection="1">
      <alignment horizontal="left" vertical="center" indent="7"/>
      <protection hidden="1"/>
    </xf>
    <xf numFmtId="0" fontId="5" fillId="13" borderId="0" xfId="2" applyFont="1" applyFill="1" applyAlignment="1">
      <alignment horizontal="center" vertical="center" wrapText="1"/>
    </xf>
    <xf numFmtId="0" fontId="94" fillId="10" borderId="4" xfId="3" applyFont="1" applyFill="1" applyBorder="1" applyAlignment="1">
      <alignment horizontal="left" vertical="center" indent="1"/>
    </xf>
    <xf numFmtId="0" fontId="45" fillId="13" borderId="0" xfId="2" applyFont="1" applyFill="1" applyAlignment="1">
      <alignment horizontal="left" vertical="center" wrapText="1"/>
    </xf>
    <xf numFmtId="0" fontId="46" fillId="13" borderId="29" xfId="0" applyFont="1" applyFill="1" applyBorder="1" applyAlignment="1" applyProtection="1">
      <alignment horizontal="left" vertical="center" indent="1"/>
      <protection hidden="1"/>
    </xf>
    <xf numFmtId="0" fontId="46" fillId="13" borderId="31" xfId="0" applyFont="1" applyFill="1" applyBorder="1" applyAlignment="1" applyProtection="1">
      <alignment horizontal="left" vertical="center" indent="1"/>
      <protection hidden="1"/>
    </xf>
    <xf numFmtId="0" fontId="46" fillId="13" borderId="32" xfId="0" applyFont="1" applyFill="1" applyBorder="1" applyAlignment="1" applyProtection="1">
      <alignment horizontal="left" vertical="center" indent="1"/>
      <protection hidden="1"/>
    </xf>
    <xf numFmtId="0" fontId="46" fillId="13" borderId="33" xfId="0" applyFont="1" applyFill="1" applyBorder="1" applyAlignment="1" applyProtection="1">
      <alignment horizontal="left" vertical="center" indent="1"/>
      <protection hidden="1"/>
    </xf>
    <xf numFmtId="0" fontId="5" fillId="13" borderId="0" xfId="2" applyFont="1" applyFill="1" applyAlignment="1" applyProtection="1">
      <alignment horizontal="left" vertical="center" wrapText="1"/>
      <protection hidden="1"/>
    </xf>
    <xf numFmtId="0" fontId="46" fillId="13" borderId="4" xfId="0" applyFont="1" applyFill="1" applyBorder="1" applyAlignment="1" applyProtection="1">
      <alignment horizontal="center" vertical="center" wrapText="1"/>
      <protection hidden="1"/>
    </xf>
    <xf numFmtId="0" fontId="9" fillId="13" borderId="0" xfId="0" applyFont="1" applyFill="1" applyBorder="1" applyAlignment="1" applyProtection="1">
      <alignment horizontal="left" vertical="center" indent="1"/>
      <protection hidden="1"/>
    </xf>
    <xf numFmtId="0" fontId="15" fillId="13" borderId="0" xfId="0" applyFont="1" applyFill="1" applyBorder="1" applyAlignment="1" applyProtection="1">
      <alignment horizontal="left" vertical="center" indent="1"/>
      <protection hidden="1"/>
    </xf>
    <xf numFmtId="0" fontId="2" fillId="10" borderId="78" xfId="2" applyFont="1" applyFill="1" applyBorder="1" applyAlignment="1">
      <alignment horizontal="center" vertical="center"/>
    </xf>
    <xf numFmtId="0" fontId="2" fillId="10" borderId="79" xfId="2" applyFont="1" applyFill="1" applyBorder="1" applyAlignment="1">
      <alignment horizontal="center" vertical="center"/>
    </xf>
    <xf numFmtId="0" fontId="2" fillId="10" borderId="83" xfId="2" applyFont="1" applyFill="1" applyBorder="1" applyAlignment="1">
      <alignment horizontal="center" vertical="center"/>
    </xf>
    <xf numFmtId="0" fontId="14" fillId="11" borderId="0" xfId="2" applyFont="1" applyFill="1" applyBorder="1" applyAlignment="1">
      <alignment horizontal="left" vertical="center" wrapText="1" indent="1"/>
    </xf>
    <xf numFmtId="0" fontId="2" fillId="11" borderId="0" xfId="2" applyFont="1" applyFill="1" applyBorder="1" applyAlignment="1">
      <alignment horizontal="left" vertical="center" wrapText="1"/>
    </xf>
    <xf numFmtId="0" fontId="0" fillId="0" borderId="0" xfId="0" applyAlignment="1">
      <alignment horizontal="center" vertical="center"/>
    </xf>
    <xf numFmtId="0" fontId="14" fillId="20" borderId="143" xfId="0" applyFont="1" applyFill="1" applyBorder="1" applyAlignment="1" applyProtection="1">
      <alignment horizontal="center" vertical="center" wrapText="1"/>
      <protection locked="0"/>
    </xf>
    <xf numFmtId="0" fontId="14" fillId="20" borderId="34" xfId="0" applyFont="1" applyFill="1" applyBorder="1" applyAlignment="1" applyProtection="1">
      <alignment horizontal="center" vertical="center" wrapText="1"/>
      <protection locked="0"/>
    </xf>
    <xf numFmtId="0" fontId="14" fillId="20" borderId="49" xfId="0" applyFont="1" applyFill="1" applyBorder="1" applyAlignment="1" applyProtection="1">
      <alignment horizontal="center" vertical="center" wrapText="1"/>
      <protection locked="0"/>
    </xf>
    <xf numFmtId="0" fontId="14" fillId="20" borderId="141" xfId="0" applyFont="1" applyFill="1" applyBorder="1" applyAlignment="1" applyProtection="1">
      <alignment horizontal="center" vertical="center" wrapText="1"/>
      <protection locked="0"/>
    </xf>
    <xf numFmtId="4" fontId="14" fillId="10" borderId="34" xfId="7" applyNumberFormat="1" applyFont="1" applyFill="1" applyBorder="1" applyAlignment="1" applyProtection="1">
      <alignment horizontal="center" vertical="center" wrapText="1"/>
      <protection hidden="1"/>
    </xf>
    <xf numFmtId="4" fontId="14" fillId="10" borderId="49" xfId="7" applyNumberFormat="1" applyFont="1" applyFill="1" applyBorder="1" applyAlignment="1" applyProtection="1">
      <alignment horizontal="center" vertical="center" wrapText="1"/>
      <protection hidden="1"/>
    </xf>
    <xf numFmtId="4" fontId="14" fillId="10" borderId="141" xfId="7" applyNumberFormat="1" applyFont="1" applyFill="1" applyBorder="1" applyAlignment="1" applyProtection="1">
      <alignment horizontal="center" vertical="center" wrapText="1"/>
      <protection hidden="1"/>
    </xf>
    <xf numFmtId="9" fontId="14" fillId="20" borderId="34" xfId="1" applyFont="1" applyFill="1" applyBorder="1" applyAlignment="1" applyProtection="1">
      <alignment horizontal="center" vertical="center" wrapText="1"/>
      <protection locked="0"/>
    </xf>
    <xf numFmtId="9" fontId="14" fillId="20" borderId="49" xfId="1" applyFont="1" applyFill="1" applyBorder="1" applyAlignment="1" applyProtection="1">
      <alignment horizontal="center" vertical="center" wrapText="1"/>
      <protection locked="0"/>
    </xf>
    <xf numFmtId="9" fontId="14" fillId="20" borderId="141" xfId="1" applyFont="1" applyFill="1" applyBorder="1" applyAlignment="1" applyProtection="1">
      <alignment horizontal="center" vertical="center" wrapText="1"/>
      <protection locked="0"/>
    </xf>
    <xf numFmtId="0" fontId="19" fillId="13" borderId="25" xfId="2" applyFont="1" applyFill="1" applyBorder="1" applyAlignment="1">
      <alignment horizontal="left" vertical="center" wrapText="1" indent="1"/>
    </xf>
    <xf numFmtId="0" fontId="19" fillId="13" borderId="26" xfId="2" applyFont="1" applyFill="1" applyBorder="1" applyAlignment="1">
      <alignment horizontal="left" vertical="center" wrapText="1" indent="1"/>
    </xf>
    <xf numFmtId="0" fontId="2" fillId="11" borderId="25" xfId="2" applyFont="1" applyFill="1" applyBorder="1" applyAlignment="1">
      <alignment horizontal="left" vertical="center" wrapText="1" indent="1"/>
    </xf>
    <xf numFmtId="0" fontId="2" fillId="11" borderId="26" xfId="2" applyFont="1" applyFill="1" applyBorder="1" applyAlignment="1">
      <alignment horizontal="left" vertical="center" wrapText="1" indent="1"/>
    </xf>
    <xf numFmtId="0" fontId="2" fillId="11" borderId="27" xfId="2" applyFont="1" applyFill="1" applyBorder="1" applyAlignment="1">
      <alignment horizontal="left" vertical="center" wrapText="1" indent="1"/>
    </xf>
    <xf numFmtId="0" fontId="10" fillId="13" borderId="0" xfId="0" applyFont="1" applyFill="1" applyBorder="1" applyAlignment="1" applyProtection="1">
      <alignment horizontal="left" vertical="center" indent="1"/>
      <protection hidden="1"/>
    </xf>
    <xf numFmtId="0" fontId="2" fillId="10" borderId="43" xfId="2" applyFill="1" applyBorder="1" applyAlignment="1">
      <alignment horizontal="left" indent="7"/>
    </xf>
    <xf numFmtId="0" fontId="2" fillId="10" borderId="42" xfId="2" applyFill="1" applyBorder="1" applyAlignment="1">
      <alignment horizontal="left" indent="7"/>
    </xf>
    <xf numFmtId="0" fontId="2" fillId="10" borderId="44" xfId="2" applyFill="1" applyBorder="1" applyAlignment="1">
      <alignment horizontal="left" indent="7"/>
    </xf>
    <xf numFmtId="0" fontId="14" fillId="15" borderId="4" xfId="0" applyFont="1" applyFill="1" applyBorder="1" applyAlignment="1">
      <alignment horizontal="center" vertical="center" wrapText="1"/>
    </xf>
    <xf numFmtId="0" fontId="36" fillId="26" borderId="10" xfId="0" applyFont="1" applyFill="1" applyBorder="1" applyAlignment="1">
      <alignment horizontal="center" vertical="center" wrapText="1"/>
    </xf>
    <xf numFmtId="0" fontId="36" fillId="26" borderId="7" xfId="0" applyFont="1" applyFill="1" applyBorder="1" applyAlignment="1">
      <alignment horizontal="center" vertical="center" wrapText="1"/>
    </xf>
    <xf numFmtId="0" fontId="36" fillId="26" borderId="8" xfId="0" applyFont="1" applyFill="1" applyBorder="1" applyAlignment="1">
      <alignment horizontal="center" vertical="center" wrapText="1"/>
    </xf>
    <xf numFmtId="165" fontId="14" fillId="15" borderId="10" xfId="0" applyNumberFormat="1" applyFont="1" applyFill="1" applyBorder="1" applyAlignment="1">
      <alignment horizontal="center" vertical="center" wrapText="1"/>
    </xf>
    <xf numFmtId="165" fontId="14" fillId="15" borderId="8" xfId="0" applyNumberFormat="1"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15" borderId="8" xfId="0" applyFont="1" applyFill="1" applyBorder="1" applyAlignment="1">
      <alignment horizontal="center" vertical="center" wrapText="1"/>
    </xf>
    <xf numFmtId="9" fontId="14" fillId="15" borderId="10" xfId="0" applyNumberFormat="1" applyFont="1" applyFill="1" applyBorder="1" applyAlignment="1">
      <alignment horizontal="center" vertical="center" wrapText="1"/>
    </xf>
    <xf numFmtId="0" fontId="20" fillId="2" borderId="0" xfId="2" applyFont="1" applyFill="1" applyBorder="1" applyAlignment="1" applyProtection="1">
      <alignment horizontal="left" vertical="center" wrapText="1" indent="6"/>
      <protection hidden="1"/>
    </xf>
    <xf numFmtId="3" fontId="14" fillId="20" borderId="34" xfId="0" applyNumberFormat="1" applyFont="1" applyFill="1" applyBorder="1" applyAlignment="1" applyProtection="1">
      <alignment horizontal="center" vertical="center" wrapText="1"/>
      <protection locked="0"/>
    </xf>
    <xf numFmtId="3" fontId="14" fillId="20" borderId="49" xfId="0" applyNumberFormat="1" applyFont="1" applyFill="1" applyBorder="1" applyAlignment="1" applyProtection="1">
      <alignment horizontal="center" vertical="center" wrapText="1"/>
      <protection locked="0"/>
    </xf>
    <xf numFmtId="3" fontId="14" fillId="20" borderId="141" xfId="0" applyNumberFormat="1" applyFont="1" applyFill="1" applyBorder="1" applyAlignment="1" applyProtection="1">
      <alignment horizontal="center" vertical="center" wrapText="1"/>
      <protection locked="0"/>
    </xf>
    <xf numFmtId="3" fontId="14" fillId="10" borderId="34" xfId="7" applyNumberFormat="1" applyFont="1" applyFill="1" applyBorder="1" applyAlignment="1" applyProtection="1">
      <alignment horizontal="center" vertical="center" wrapText="1"/>
      <protection hidden="1"/>
    </xf>
    <xf numFmtId="3" fontId="14" fillId="10" borderId="49" xfId="7" applyNumberFormat="1" applyFont="1" applyFill="1" applyBorder="1" applyAlignment="1" applyProtection="1">
      <alignment horizontal="center" vertical="center" wrapText="1"/>
      <protection hidden="1"/>
    </xf>
    <xf numFmtId="3" fontId="14" fillId="10" borderId="141" xfId="7" applyNumberFormat="1"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14" fillId="15" borderId="29"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15" borderId="32" xfId="0" applyFont="1" applyFill="1" applyBorder="1" applyAlignment="1">
      <alignment horizontal="center" vertical="center" wrapText="1"/>
    </xf>
    <xf numFmtId="0" fontId="14" fillId="15" borderId="33" xfId="0" applyFont="1" applyFill="1" applyBorder="1" applyAlignment="1">
      <alignment horizontal="center" vertical="center" wrapText="1"/>
    </xf>
    <xf numFmtId="0" fontId="20" fillId="2" borderId="3" xfId="2" applyFont="1" applyFill="1" applyBorder="1" applyAlignment="1" applyProtection="1">
      <alignment horizontal="center" vertical="center"/>
      <protection hidden="1"/>
    </xf>
    <xf numFmtId="0" fontId="20" fillId="2" borderId="0" xfId="2" applyFont="1" applyFill="1" applyBorder="1" applyAlignment="1" applyProtection="1">
      <alignment horizontal="center" vertical="center"/>
      <protection hidden="1"/>
    </xf>
    <xf numFmtId="0" fontId="13" fillId="13" borderId="10"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left" vertical="center" indent="1"/>
      <protection hidden="1"/>
    </xf>
    <xf numFmtId="0" fontId="16" fillId="13" borderId="4" xfId="0" applyFont="1" applyFill="1" applyBorder="1" applyAlignment="1" applyProtection="1">
      <alignment horizontal="center" vertical="center"/>
      <protection hidden="1"/>
    </xf>
    <xf numFmtId="3" fontId="8" fillId="4" borderId="4" xfId="1" applyNumberFormat="1" applyFont="1" applyFill="1" applyBorder="1" applyAlignment="1" applyProtection="1">
      <alignment horizontal="center" vertical="center" wrapText="1"/>
      <protection hidden="1"/>
    </xf>
    <xf numFmtId="164" fontId="8" fillId="4" borderId="4" xfId="1" applyNumberFormat="1" applyFont="1" applyFill="1" applyBorder="1" applyAlignment="1" applyProtection="1">
      <alignment horizontal="center" vertical="center" wrapText="1"/>
      <protection hidden="1"/>
    </xf>
    <xf numFmtId="0" fontId="2" fillId="10" borderId="45" xfId="2" applyFill="1" applyBorder="1" applyAlignment="1">
      <alignment horizontal="left" indent="8"/>
    </xf>
    <xf numFmtId="0" fontId="2" fillId="10" borderId="0" xfId="2" applyFill="1" applyBorder="1" applyAlignment="1">
      <alignment horizontal="left" indent="8"/>
    </xf>
    <xf numFmtId="0" fontId="2" fillId="10" borderId="46" xfId="2" applyFill="1" applyBorder="1" applyAlignment="1">
      <alignment horizontal="left" indent="8"/>
    </xf>
    <xf numFmtId="0" fontId="2" fillId="10" borderId="47" xfId="2" applyFill="1" applyBorder="1" applyAlignment="1">
      <alignment horizontal="left" vertical="center" indent="8"/>
    </xf>
    <xf numFmtId="0" fontId="2" fillId="10" borderId="6" xfId="2" applyFill="1" applyBorder="1" applyAlignment="1">
      <alignment horizontal="left" vertical="center" indent="8"/>
    </xf>
    <xf numFmtId="0" fontId="2" fillId="10" borderId="48" xfId="2" applyFill="1" applyBorder="1" applyAlignment="1">
      <alignment horizontal="left" vertical="center" indent="8"/>
    </xf>
    <xf numFmtId="0" fontId="16" fillId="13" borderId="10" xfId="0" applyFont="1" applyFill="1" applyBorder="1" applyAlignment="1" applyProtection="1">
      <alignment horizontal="center" vertical="center"/>
      <protection hidden="1"/>
    </xf>
    <xf numFmtId="0" fontId="16" fillId="13" borderId="7" xfId="0" applyFont="1" applyFill="1" applyBorder="1" applyAlignment="1" applyProtection="1">
      <alignment horizontal="center" vertical="center"/>
      <protection hidden="1"/>
    </xf>
    <xf numFmtId="0" fontId="16" fillId="13" borderId="8" xfId="0" applyFont="1" applyFill="1" applyBorder="1" applyAlignment="1" applyProtection="1">
      <alignment horizontal="center" vertical="center"/>
      <protection hidden="1"/>
    </xf>
    <xf numFmtId="0" fontId="11" fillId="13" borderId="7" xfId="0" applyFont="1" applyFill="1" applyBorder="1" applyAlignment="1" applyProtection="1">
      <alignment horizontal="center" vertical="center" wrapText="1"/>
      <protection hidden="1"/>
    </xf>
    <xf numFmtId="0" fontId="11" fillId="13" borderId="8" xfId="0" applyFont="1" applyFill="1" applyBorder="1" applyAlignment="1" applyProtection="1">
      <alignment horizontal="center" vertical="center" wrapText="1"/>
      <protection hidden="1"/>
    </xf>
    <xf numFmtId="0" fontId="35" fillId="13" borderId="0" xfId="0" applyFont="1" applyFill="1" applyBorder="1" applyAlignment="1" applyProtection="1">
      <alignment horizontal="left" vertical="center" indent="1"/>
      <protection hidden="1"/>
    </xf>
    <xf numFmtId="0" fontId="11" fillId="13" borderId="88" xfId="0" applyFont="1" applyFill="1" applyBorder="1" applyAlignment="1" applyProtection="1">
      <alignment horizontal="center" vertical="center" wrapText="1"/>
      <protection hidden="1"/>
    </xf>
    <xf numFmtId="0" fontId="11" fillId="13" borderId="54" xfId="0" applyFont="1" applyFill="1" applyBorder="1" applyAlignment="1" applyProtection="1">
      <alignment horizontal="center" vertical="center" wrapText="1"/>
      <protection hidden="1"/>
    </xf>
    <xf numFmtId="0" fontId="14" fillId="20" borderId="51" xfId="0" applyFont="1" applyFill="1" applyBorder="1" applyAlignment="1" applyProtection="1">
      <alignment horizontal="center" vertical="center" wrapText="1"/>
      <protection locked="0"/>
    </xf>
    <xf numFmtId="0" fontId="14" fillId="20" borderId="52" xfId="0" applyFont="1" applyFill="1" applyBorder="1" applyAlignment="1" applyProtection="1">
      <alignment horizontal="center" vertical="center" wrapText="1"/>
      <protection locked="0"/>
    </xf>
    <xf numFmtId="0" fontId="2" fillId="4" borderId="89" xfId="0" applyFont="1" applyFill="1" applyBorder="1" applyAlignment="1" applyProtection="1">
      <alignment horizontal="left" vertical="center" wrapText="1"/>
      <protection hidden="1"/>
    </xf>
    <xf numFmtId="0" fontId="2" fillId="4" borderId="55" xfId="0" applyFont="1" applyFill="1" applyBorder="1" applyAlignment="1" applyProtection="1">
      <alignment horizontal="left" vertical="center" wrapText="1"/>
      <protection hidden="1"/>
    </xf>
    <xf numFmtId="0" fontId="2" fillId="4" borderId="90" xfId="0" applyFont="1" applyFill="1" applyBorder="1" applyAlignment="1" applyProtection="1">
      <alignment horizontal="left" vertical="center" wrapText="1"/>
      <protection hidden="1"/>
    </xf>
    <xf numFmtId="0" fontId="2" fillId="4" borderId="51" xfId="0" applyFont="1" applyFill="1" applyBorder="1" applyAlignment="1" applyProtection="1">
      <alignment horizontal="left" vertical="center" wrapText="1" indent="1"/>
      <protection hidden="1"/>
    </xf>
    <xf numFmtId="0" fontId="2" fillId="4" borderId="55" xfId="0" applyFont="1" applyFill="1" applyBorder="1" applyAlignment="1" applyProtection="1">
      <alignment horizontal="left" vertical="center" wrapText="1" indent="1"/>
      <protection hidden="1"/>
    </xf>
    <xf numFmtId="0" fontId="2" fillId="4" borderId="52" xfId="0" applyFont="1" applyFill="1" applyBorder="1" applyAlignment="1" applyProtection="1">
      <alignment horizontal="left" vertical="center" wrapText="1" indent="1"/>
      <protection hidden="1"/>
    </xf>
    <xf numFmtId="0" fontId="2" fillId="18" borderId="78" xfId="2" applyFont="1" applyFill="1" applyBorder="1" applyAlignment="1" applyProtection="1">
      <alignment horizontal="center" vertical="center"/>
      <protection hidden="1"/>
    </xf>
    <xf numFmtId="0" fontId="2" fillId="18" borderId="79" xfId="2" applyFont="1" applyFill="1" applyBorder="1" applyAlignment="1" applyProtection="1">
      <alignment horizontal="center" vertical="center"/>
      <protection hidden="1"/>
    </xf>
    <xf numFmtId="0" fontId="19" fillId="13" borderId="36" xfId="2" applyFont="1" applyFill="1" applyBorder="1" applyAlignment="1" applyProtection="1">
      <alignment horizontal="left" vertical="center" wrapText="1" indent="1"/>
      <protection hidden="1"/>
    </xf>
    <xf numFmtId="0" fontId="19" fillId="13" borderId="37" xfId="2" applyFont="1" applyFill="1" applyBorder="1" applyAlignment="1" applyProtection="1">
      <alignment horizontal="left" vertical="center" wrapText="1" indent="1"/>
      <protection hidden="1"/>
    </xf>
    <xf numFmtId="0" fontId="8" fillId="0" borderId="26" xfId="2" applyFont="1" applyFill="1" applyBorder="1" applyAlignment="1" applyProtection="1">
      <alignment horizontal="left" vertical="center" wrapText="1" indent="1"/>
      <protection hidden="1"/>
    </xf>
    <xf numFmtId="0" fontId="8" fillId="0" borderId="27" xfId="2" applyFont="1" applyFill="1" applyBorder="1" applyAlignment="1" applyProtection="1">
      <alignment horizontal="left" vertical="center" wrapText="1" indent="1"/>
      <protection hidden="1"/>
    </xf>
    <xf numFmtId="0" fontId="2" fillId="4" borderId="4" xfId="0" applyFont="1" applyFill="1" applyBorder="1" applyAlignment="1" applyProtection="1">
      <alignment horizontal="left" vertical="center" wrapText="1"/>
      <protection hidden="1"/>
    </xf>
    <xf numFmtId="0" fontId="2" fillId="4" borderId="80" xfId="0" applyFont="1" applyFill="1" applyBorder="1" applyAlignment="1" applyProtection="1">
      <alignment horizontal="left" vertical="center" wrapText="1" indent="1"/>
      <protection hidden="1"/>
    </xf>
    <xf numFmtId="0" fontId="2" fillId="4" borderId="50" xfId="0" applyFont="1" applyFill="1" applyBorder="1" applyAlignment="1" applyProtection="1">
      <alignment horizontal="left" vertical="center" wrapText="1" indent="1"/>
      <protection hidden="1"/>
    </xf>
    <xf numFmtId="0" fontId="2" fillId="4" borderId="81" xfId="0" applyFont="1" applyFill="1" applyBorder="1" applyAlignment="1" applyProtection="1">
      <alignment horizontal="left" vertical="center" wrapText="1" indent="1"/>
      <protection hidden="1"/>
    </xf>
    <xf numFmtId="0" fontId="2" fillId="4" borderId="53" xfId="0" applyFont="1" applyFill="1" applyBorder="1" applyAlignment="1" applyProtection="1">
      <alignment horizontal="left" vertical="center" wrapText="1"/>
      <protection hidden="1"/>
    </xf>
    <xf numFmtId="0" fontId="2" fillId="4" borderId="88" xfId="0" applyFont="1" applyFill="1" applyBorder="1" applyAlignment="1" applyProtection="1">
      <alignment horizontal="left" vertical="center" wrapText="1"/>
      <protection hidden="1"/>
    </xf>
    <xf numFmtId="0" fontId="2" fillId="4" borderId="54" xfId="0" applyFont="1" applyFill="1" applyBorder="1" applyAlignment="1" applyProtection="1">
      <alignment horizontal="left" vertical="center" wrapText="1"/>
      <protection hidden="1"/>
    </xf>
    <xf numFmtId="0" fontId="11" fillId="13" borderId="10" xfId="2" applyFont="1" applyFill="1" applyBorder="1" applyAlignment="1" applyProtection="1">
      <alignment horizontal="left" vertical="center" indent="1"/>
      <protection hidden="1"/>
    </xf>
    <xf numFmtId="0" fontId="11" fillId="13" borderId="7" xfId="2" applyFont="1" applyFill="1" applyBorder="1" applyAlignment="1" applyProtection="1">
      <alignment horizontal="left" vertical="center" indent="1"/>
      <protection hidden="1"/>
    </xf>
    <xf numFmtId="0" fontId="16" fillId="13" borderId="41" xfId="0" applyFont="1" applyFill="1" applyBorder="1" applyAlignment="1" applyProtection="1">
      <alignment horizontal="center" vertical="center"/>
      <protection hidden="1"/>
    </xf>
    <xf numFmtId="0" fontId="16" fillId="13" borderId="82" xfId="0" applyFont="1" applyFill="1" applyBorder="1" applyAlignment="1" applyProtection="1">
      <alignment horizontal="center" vertical="center"/>
      <protection hidden="1"/>
    </xf>
    <xf numFmtId="0" fontId="16" fillId="13" borderId="0" xfId="0" applyFont="1" applyFill="1" applyBorder="1" applyAlignment="1" applyProtection="1">
      <alignment horizontal="center" vertical="center"/>
      <protection hidden="1"/>
    </xf>
    <xf numFmtId="0" fontId="16" fillId="13" borderId="144" xfId="0" applyFont="1" applyFill="1" applyBorder="1" applyAlignment="1" applyProtection="1">
      <alignment horizontal="center" vertical="center"/>
      <protection hidden="1"/>
    </xf>
    <xf numFmtId="0" fontId="2" fillId="4" borderId="35" xfId="0" applyFont="1" applyFill="1" applyBorder="1" applyAlignment="1" applyProtection="1">
      <alignment horizontal="left" vertical="center" wrapText="1" indent="1"/>
      <protection hidden="1"/>
    </xf>
    <xf numFmtId="0" fontId="2" fillId="4" borderId="0" xfId="0" applyFont="1" applyFill="1" applyBorder="1" applyAlignment="1" applyProtection="1">
      <alignment horizontal="left" vertical="center" wrapText="1" indent="1"/>
      <protection hidden="1"/>
    </xf>
    <xf numFmtId="0" fontId="19" fillId="13" borderId="39" xfId="2" applyFont="1" applyFill="1" applyBorder="1" applyAlignment="1" applyProtection="1">
      <alignment horizontal="left" vertical="center" wrapText="1" indent="1"/>
      <protection hidden="1"/>
    </xf>
    <xf numFmtId="0" fontId="19" fillId="13" borderId="0" xfId="2" applyFont="1" applyFill="1" applyBorder="1" applyAlignment="1" applyProtection="1">
      <alignment horizontal="left" vertical="center" wrapText="1" indent="1"/>
      <protection hidden="1"/>
    </xf>
    <xf numFmtId="0" fontId="11" fillId="13" borderId="80" xfId="0" applyFont="1" applyFill="1" applyBorder="1" applyAlignment="1" applyProtection="1">
      <alignment horizontal="left" vertical="center" indent="1"/>
      <protection hidden="1"/>
    </xf>
    <xf numFmtId="0" fontId="11" fillId="13" borderId="50" xfId="0" applyFont="1" applyFill="1" applyBorder="1" applyAlignment="1" applyProtection="1">
      <alignment horizontal="left" vertical="center" indent="1"/>
      <protection hidden="1"/>
    </xf>
    <xf numFmtId="0" fontId="11" fillId="13" borderId="3" xfId="0" applyFont="1" applyFill="1" applyBorder="1" applyAlignment="1" applyProtection="1">
      <alignment horizontal="left" vertical="center" indent="1"/>
      <protection hidden="1"/>
    </xf>
    <xf numFmtId="0" fontId="2" fillId="20" borderId="4" xfId="0" applyFont="1" applyFill="1" applyBorder="1" applyAlignment="1" applyProtection="1">
      <alignment horizontal="left" vertical="center" wrapText="1" indent="1"/>
      <protection locked="0"/>
    </xf>
    <xf numFmtId="0" fontId="2" fillId="4" borderId="51" xfId="0" applyFont="1" applyFill="1" applyBorder="1" applyAlignment="1" applyProtection="1">
      <alignment horizontal="left" vertical="center" wrapText="1"/>
      <protection hidden="1"/>
    </xf>
    <xf numFmtId="0" fontId="14" fillId="20" borderId="0" xfId="0" applyNumberFormat="1" applyFont="1" applyFill="1" applyBorder="1" applyAlignment="1" applyProtection="1">
      <alignment horizontal="left" vertical="center" wrapText="1" indent="2"/>
      <protection locked="0"/>
    </xf>
    <xf numFmtId="0" fontId="2" fillId="4" borderId="52" xfId="0" applyFont="1" applyFill="1" applyBorder="1" applyAlignment="1" applyProtection="1">
      <alignment horizontal="left" vertical="center" wrapText="1"/>
      <protection hidden="1"/>
    </xf>
    <xf numFmtId="0" fontId="5" fillId="6" borderId="0" xfId="2" applyFont="1" applyFill="1" applyBorder="1" applyAlignment="1" applyProtection="1">
      <alignment vertical="center" wrapText="1"/>
      <protection hidden="1"/>
    </xf>
    <xf numFmtId="0" fontId="45" fillId="6" borderId="30" xfId="2" applyFont="1" applyFill="1" applyBorder="1" applyAlignment="1">
      <alignment horizontal="left" vertical="center" wrapText="1"/>
    </xf>
    <xf numFmtId="0" fontId="45" fillId="6" borderId="0" xfId="2" applyFont="1" applyFill="1" applyBorder="1" applyAlignment="1">
      <alignment horizontal="left" vertical="center" wrapText="1"/>
    </xf>
    <xf numFmtId="0" fontId="46" fillId="6" borderId="4" xfId="0" applyFont="1" applyFill="1" applyBorder="1" applyAlignment="1" applyProtection="1">
      <alignment horizontal="center" vertical="center" wrapText="1"/>
      <protection hidden="1"/>
    </xf>
    <xf numFmtId="0" fontId="96" fillId="10" borderId="4" xfId="3" applyFont="1" applyFill="1" applyBorder="1" applyAlignment="1">
      <alignment horizontal="left" vertical="center" indent="1"/>
    </xf>
    <xf numFmtId="0" fontId="46" fillId="6" borderId="29" xfId="0" applyFont="1" applyFill="1" applyBorder="1" applyAlignment="1" applyProtection="1">
      <alignment horizontal="left" vertical="center" indent="1"/>
      <protection hidden="1"/>
    </xf>
    <xf numFmtId="0" fontId="46" fillId="6" borderId="31" xfId="0" applyFont="1" applyFill="1" applyBorder="1" applyAlignment="1" applyProtection="1">
      <alignment horizontal="left" vertical="center" indent="1"/>
      <protection hidden="1"/>
    </xf>
    <xf numFmtId="0" fontId="46" fillId="6" borderId="32" xfId="0" applyFont="1" applyFill="1" applyBorder="1" applyAlignment="1" applyProtection="1">
      <alignment horizontal="left" vertical="center" indent="1"/>
      <protection hidden="1"/>
    </xf>
    <xf numFmtId="0" fontId="46" fillId="6" borderId="33" xfId="0" applyFont="1" applyFill="1" applyBorder="1" applyAlignment="1" applyProtection="1">
      <alignment horizontal="left" vertical="center" indent="1"/>
      <protection hidden="1"/>
    </xf>
    <xf numFmtId="166" fontId="14" fillId="10" borderId="41" xfId="0" applyNumberFormat="1"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0" fontId="13" fillId="6" borderId="1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7" xfId="0"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indent="1"/>
      <protection hidden="1"/>
    </xf>
    <xf numFmtId="0" fontId="16" fillId="6" borderId="4" xfId="0"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0" fontId="9" fillId="6" borderId="0" xfId="0" applyFont="1" applyFill="1" applyBorder="1" applyAlignment="1" applyProtection="1">
      <alignment horizontal="left" vertical="center" indent="1"/>
      <protection hidden="1"/>
    </xf>
    <xf numFmtId="0" fontId="19" fillId="6" borderId="25" xfId="2" applyFont="1" applyFill="1" applyBorder="1" applyAlignment="1" applyProtection="1">
      <alignment horizontal="left" vertical="center" wrapText="1" indent="1"/>
      <protection hidden="1"/>
    </xf>
    <xf numFmtId="0" fontId="19" fillId="6" borderId="26" xfId="2" applyFont="1" applyFill="1" applyBorder="1" applyAlignment="1" applyProtection="1">
      <alignment horizontal="left" vertical="center" wrapText="1" indent="1"/>
      <protection hidden="1"/>
    </xf>
    <xf numFmtId="0" fontId="2" fillId="11" borderId="22" xfId="2" applyFont="1" applyFill="1" applyBorder="1" applyAlignment="1" applyProtection="1">
      <alignment horizontal="left" vertical="center" wrapText="1" indent="1"/>
      <protection hidden="1"/>
    </xf>
    <xf numFmtId="0" fontId="2" fillId="11" borderId="23" xfId="2" applyFont="1" applyFill="1" applyBorder="1" applyAlignment="1" applyProtection="1">
      <alignment horizontal="left" vertical="center" wrapText="1" indent="1"/>
      <protection hidden="1"/>
    </xf>
    <xf numFmtId="0" fontId="2" fillId="11" borderId="24" xfId="2" applyFont="1" applyFill="1" applyBorder="1" applyAlignment="1" applyProtection="1">
      <alignment horizontal="left" vertical="center" wrapText="1" indent="1"/>
      <protection hidden="1"/>
    </xf>
    <xf numFmtId="0" fontId="2" fillId="2" borderId="0" xfId="2" applyFont="1" applyFill="1" applyBorder="1" applyAlignment="1" applyProtection="1">
      <alignment horizontal="left" vertical="center" wrapText="1"/>
      <protection hidden="1"/>
    </xf>
    <xf numFmtId="0" fontId="35" fillId="6" borderId="0" xfId="0" applyFont="1" applyFill="1" applyBorder="1" applyAlignment="1" applyProtection="1">
      <alignment horizontal="left" vertical="center" indent="1"/>
      <protection hidden="1"/>
    </xf>
    <xf numFmtId="0" fontId="2" fillId="10" borderId="43" xfId="2" applyFont="1" applyFill="1" applyBorder="1" applyAlignment="1" applyProtection="1">
      <alignment horizontal="left" indent="6"/>
      <protection hidden="1"/>
    </xf>
    <xf numFmtId="0" fontId="2" fillId="10" borderId="42" xfId="2" applyFont="1" applyFill="1" applyBorder="1" applyAlignment="1" applyProtection="1">
      <alignment horizontal="left" indent="6"/>
      <protection hidden="1"/>
    </xf>
    <xf numFmtId="0" fontId="2" fillId="10" borderId="44" xfId="2" applyFont="1" applyFill="1" applyBorder="1" applyAlignment="1" applyProtection="1">
      <alignment horizontal="left" indent="6"/>
      <protection hidden="1"/>
    </xf>
    <xf numFmtId="0" fontId="2" fillId="10" borderId="45" xfId="0" applyFont="1" applyFill="1" applyBorder="1" applyAlignment="1" applyProtection="1">
      <alignment horizontal="left" vertical="center" wrapText="1" indent="7"/>
      <protection hidden="1"/>
    </xf>
    <xf numFmtId="0" fontId="2" fillId="10" borderId="0" xfId="0" applyFont="1" applyFill="1" applyBorder="1" applyAlignment="1" applyProtection="1">
      <alignment horizontal="left" vertical="center" wrapText="1" indent="7"/>
      <protection hidden="1"/>
    </xf>
    <xf numFmtId="0" fontId="2" fillId="10" borderId="46" xfId="0" applyFont="1" applyFill="1" applyBorder="1" applyAlignment="1" applyProtection="1">
      <alignment horizontal="left" vertical="center" wrapText="1" indent="7"/>
      <protection hidden="1"/>
    </xf>
    <xf numFmtId="0" fontId="16" fillId="6" borderId="10" xfId="0" applyFont="1" applyFill="1" applyBorder="1" applyAlignment="1" applyProtection="1">
      <alignment horizontal="center" vertical="center"/>
      <protection hidden="1"/>
    </xf>
    <xf numFmtId="0" fontId="16" fillId="6" borderId="7" xfId="0" applyFont="1" applyFill="1" applyBorder="1" applyAlignment="1" applyProtection="1">
      <alignment horizontal="center" vertical="center"/>
      <protection hidden="1"/>
    </xf>
    <xf numFmtId="0" fontId="16" fillId="6" borderId="8"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wrapText="1"/>
      <protection hidden="1"/>
    </xf>
    <xf numFmtId="0" fontId="2" fillId="10" borderId="47" xfId="0" applyFont="1" applyFill="1" applyBorder="1" applyAlignment="1" applyProtection="1">
      <alignment horizontal="left" vertical="center" indent="6"/>
      <protection hidden="1"/>
    </xf>
    <xf numFmtId="0" fontId="2" fillId="10" borderId="6" xfId="0" applyFont="1" applyFill="1" applyBorder="1" applyAlignment="1" applyProtection="1">
      <alignment horizontal="left" vertical="center" indent="6"/>
      <protection hidden="1"/>
    </xf>
    <xf numFmtId="0" fontId="2" fillId="10" borderId="48" xfId="0" applyFont="1" applyFill="1" applyBorder="1" applyAlignment="1" applyProtection="1">
      <alignment horizontal="left" vertical="center" indent="6"/>
      <protection hidden="1"/>
    </xf>
    <xf numFmtId="0" fontId="2" fillId="10" borderId="47" xfId="0" applyFont="1" applyFill="1" applyBorder="1" applyAlignment="1" applyProtection="1">
      <alignment horizontal="left" vertical="center" indent="7"/>
      <protection hidden="1"/>
    </xf>
    <xf numFmtId="0" fontId="2" fillId="10" borderId="6" xfId="0" applyFont="1" applyFill="1" applyBorder="1" applyAlignment="1" applyProtection="1">
      <alignment horizontal="left" vertical="center" indent="7"/>
      <protection hidden="1"/>
    </xf>
    <xf numFmtId="0" fontId="2" fillId="10" borderId="48" xfId="0" applyFont="1" applyFill="1" applyBorder="1" applyAlignment="1" applyProtection="1">
      <alignment horizontal="left" vertical="center" indent="7"/>
      <protection hidden="1"/>
    </xf>
    <xf numFmtId="0" fontId="14" fillId="10" borderId="4" xfId="0" applyFont="1" applyFill="1" applyBorder="1" applyAlignment="1" applyProtection="1">
      <alignment horizontal="center" vertical="center" wrapText="1"/>
      <protection locked="0"/>
    </xf>
    <xf numFmtId="0" fontId="20" fillId="2" borderId="0" xfId="2" applyFont="1" applyFill="1" applyBorder="1" applyAlignment="1" applyProtection="1">
      <alignment horizontal="left" vertical="center" indent="11"/>
      <protection hidden="1"/>
    </xf>
    <xf numFmtId="0" fontId="2" fillId="10" borderId="36" xfId="2" applyFont="1" applyFill="1" applyBorder="1" applyAlignment="1" applyProtection="1">
      <alignment horizontal="left" indent="6"/>
      <protection hidden="1"/>
    </xf>
    <xf numFmtId="0" fontId="2" fillId="10" borderId="37" xfId="2" applyFont="1" applyFill="1" applyBorder="1" applyAlignment="1" applyProtection="1">
      <alignment horizontal="left" indent="6"/>
      <protection hidden="1"/>
    </xf>
    <xf numFmtId="0" fontId="2" fillId="10" borderId="38" xfId="2" applyFont="1" applyFill="1" applyBorder="1" applyAlignment="1" applyProtection="1">
      <alignment horizontal="left" indent="6"/>
      <protection hidden="1"/>
    </xf>
    <xf numFmtId="0" fontId="2" fillId="10" borderId="39" xfId="0" applyFont="1" applyFill="1" applyBorder="1" applyAlignment="1" applyProtection="1">
      <alignment horizontal="left" vertical="center" wrapText="1" indent="7"/>
      <protection hidden="1"/>
    </xf>
    <xf numFmtId="0" fontId="2" fillId="10" borderId="40" xfId="0" applyFont="1" applyFill="1" applyBorder="1" applyAlignment="1" applyProtection="1">
      <alignment horizontal="left" vertical="center" wrapText="1" indent="7"/>
      <protection hidden="1"/>
    </xf>
    <xf numFmtId="0" fontId="2" fillId="10" borderId="22" xfId="0" applyFont="1" applyFill="1" applyBorder="1" applyAlignment="1" applyProtection="1">
      <alignment horizontal="left" vertical="center" indent="7"/>
      <protection hidden="1"/>
    </xf>
    <xf numFmtId="0" fontId="2" fillId="10" borderId="23" xfId="0" applyFont="1" applyFill="1" applyBorder="1" applyAlignment="1" applyProtection="1">
      <alignment horizontal="left" vertical="center" indent="7"/>
      <protection hidden="1"/>
    </xf>
    <xf numFmtId="0" fontId="2" fillId="10" borderId="24" xfId="0" applyFont="1" applyFill="1" applyBorder="1" applyAlignment="1" applyProtection="1">
      <alignment horizontal="left" vertical="center" indent="7"/>
      <protection hidden="1"/>
    </xf>
    <xf numFmtId="0" fontId="13" fillId="6" borderId="10"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indent="5"/>
      <protection hidden="1"/>
    </xf>
    <xf numFmtId="0" fontId="2" fillId="10" borderId="22" xfId="2" applyFill="1" applyBorder="1" applyAlignment="1" applyProtection="1">
      <alignment horizontal="left" vertical="center" wrapText="1" indent="6"/>
      <protection hidden="1"/>
    </xf>
    <xf numFmtId="0" fontId="2" fillId="10" borderId="23" xfId="2" applyFill="1" applyBorder="1" applyAlignment="1" applyProtection="1">
      <alignment horizontal="left" vertical="center" wrapText="1" indent="6"/>
      <protection hidden="1"/>
    </xf>
    <xf numFmtId="0" fontId="2" fillId="10" borderId="24" xfId="2" applyFill="1" applyBorder="1" applyAlignment="1" applyProtection="1">
      <alignment horizontal="left" vertical="center" wrapText="1" indent="6"/>
      <protection hidden="1"/>
    </xf>
    <xf numFmtId="0" fontId="13" fillId="6" borderId="35" xfId="0" applyFont="1" applyFill="1" applyBorder="1" applyAlignment="1" applyProtection="1">
      <alignment horizontal="left" vertical="center" indent="1"/>
      <protection hidden="1"/>
    </xf>
    <xf numFmtId="0" fontId="13" fillId="6" borderId="0" xfId="0" applyFont="1" applyFill="1" applyBorder="1" applyAlignment="1" applyProtection="1">
      <alignment horizontal="left" vertical="center" indent="1"/>
      <protection hidden="1"/>
    </xf>
    <xf numFmtId="0" fontId="14" fillId="20" borderId="10" xfId="0" applyFont="1" applyFill="1" applyBorder="1" applyAlignment="1" applyProtection="1">
      <alignment horizontal="left" vertical="center" wrapText="1"/>
      <protection locked="0"/>
    </xf>
    <xf numFmtId="0" fontId="14" fillId="20" borderId="7" xfId="0" applyFont="1" applyFill="1" applyBorder="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10" fontId="14" fillId="20" borderId="10" xfId="1" applyNumberFormat="1" applyFont="1" applyFill="1" applyBorder="1" applyAlignment="1" applyProtection="1">
      <alignment horizontal="center" vertical="center" wrapText="1"/>
      <protection locked="0"/>
    </xf>
    <xf numFmtId="10" fontId="14" fillId="20" borderId="8" xfId="1" applyNumberFormat="1" applyFont="1" applyFill="1" applyBorder="1" applyAlignment="1" applyProtection="1">
      <alignment horizontal="center" vertical="center" wrapText="1"/>
      <protection locked="0"/>
    </xf>
    <xf numFmtId="0" fontId="11" fillId="6" borderId="29" xfId="0" applyFont="1" applyFill="1" applyBorder="1" applyAlignment="1">
      <alignment horizontal="center" vertical="center" wrapText="1"/>
    </xf>
    <xf numFmtId="0" fontId="11" fillId="6" borderId="32" xfId="0" applyFont="1" applyFill="1" applyBorder="1"/>
    <xf numFmtId="0" fontId="2" fillId="27" borderId="0" xfId="0" applyFont="1" applyFill="1" applyAlignment="1">
      <alignment horizontal="left" vertical="center" wrapText="1" indent="6"/>
    </xf>
    <xf numFmtId="0" fontId="19" fillId="6" borderId="26" xfId="2" applyFont="1" applyFill="1" applyBorder="1" applyAlignment="1" applyProtection="1">
      <alignment horizontal="center" vertical="center" wrapText="1"/>
      <protection hidden="1"/>
    </xf>
    <xf numFmtId="0" fontId="19" fillId="6" borderId="27" xfId="2" applyFont="1" applyFill="1" applyBorder="1" applyAlignment="1" applyProtection="1">
      <alignment horizontal="center" vertical="center" wrapText="1"/>
      <protection hidden="1"/>
    </xf>
    <xf numFmtId="0" fontId="21" fillId="11" borderId="113" xfId="2" applyFont="1" applyFill="1" applyBorder="1" applyAlignment="1" applyProtection="1">
      <alignment horizontal="center" vertical="center"/>
      <protection hidden="1"/>
    </xf>
    <xf numFmtId="0" fontId="21" fillId="11" borderId="26" xfId="2" applyFont="1" applyFill="1" applyBorder="1" applyAlignment="1" applyProtection="1">
      <alignment horizontal="center" vertical="center"/>
      <protection hidden="1"/>
    </xf>
    <xf numFmtId="0" fontId="21" fillId="11" borderId="27" xfId="2" applyFont="1" applyFill="1" applyBorder="1" applyAlignment="1" applyProtection="1">
      <alignment horizontal="center" vertical="center"/>
      <protection hidden="1"/>
    </xf>
    <xf numFmtId="0" fontId="21" fillId="11" borderId="5" xfId="2" applyFont="1" applyFill="1" applyBorder="1" applyAlignment="1" applyProtection="1">
      <alignment horizontal="center" vertical="center"/>
      <protection hidden="1"/>
    </xf>
    <xf numFmtId="0" fontId="2" fillId="11" borderId="5" xfId="2" applyFont="1" applyFill="1" applyBorder="1" applyAlignment="1" applyProtection="1">
      <alignment horizontal="left" vertical="center" wrapText="1" indent="1"/>
      <protection hidden="1"/>
    </xf>
    <xf numFmtId="0" fontId="11" fillId="6" borderId="4" xfId="0" applyFont="1" applyFill="1" applyBorder="1" applyAlignment="1">
      <alignment horizontal="center" vertical="center" wrapText="1"/>
    </xf>
    <xf numFmtId="0" fontId="11" fillId="6" borderId="4" xfId="0" applyFont="1" applyFill="1" applyBorder="1" applyAlignment="1">
      <alignment wrapText="1"/>
    </xf>
    <xf numFmtId="0" fontId="11" fillId="6" borderId="31"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0"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30" xfId="0" applyFont="1" applyFill="1" applyBorder="1" applyAlignment="1">
      <alignment horizontal="center" vertical="center"/>
    </xf>
    <xf numFmtId="0" fontId="13" fillId="6" borderId="8" xfId="0" applyFont="1" applyFill="1" applyBorder="1" applyAlignment="1" applyProtection="1">
      <alignment horizontal="center" vertical="center"/>
      <protection hidden="1"/>
    </xf>
    <xf numFmtId="0" fontId="13" fillId="6" borderId="4"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6" borderId="4" xfId="0" applyFont="1" applyFill="1" applyBorder="1" applyAlignment="1" applyProtection="1">
      <alignment horizontal="left" vertical="center" indent="1"/>
      <protection hidden="1"/>
    </xf>
    <xf numFmtId="0" fontId="19" fillId="6" borderId="5" xfId="2" applyFont="1" applyFill="1" applyBorder="1" applyAlignment="1" applyProtection="1">
      <alignment horizontal="left" vertical="center" wrapText="1" indent="1"/>
      <protection hidden="1"/>
    </xf>
    <xf numFmtId="0" fontId="19" fillId="6" borderId="78" xfId="2" applyFont="1" applyFill="1" applyBorder="1" applyAlignment="1" applyProtection="1">
      <alignment horizontal="left" vertical="center" wrapText="1" indent="1"/>
      <protection hidden="1"/>
    </xf>
    <xf numFmtId="0" fontId="19" fillId="6" borderId="83" xfId="2" applyFont="1" applyFill="1" applyBorder="1" applyAlignment="1" applyProtection="1">
      <alignment horizontal="center" vertical="center" wrapText="1"/>
      <protection hidden="1"/>
    </xf>
    <xf numFmtId="0" fontId="19" fillId="6" borderId="78" xfId="2" applyFont="1" applyFill="1" applyBorder="1" applyAlignment="1" applyProtection="1">
      <alignment horizontal="center" vertical="center" wrapText="1"/>
      <protection hidden="1"/>
    </xf>
    <xf numFmtId="0" fontId="11" fillId="6" borderId="3" xfId="0" applyFont="1" applyFill="1" applyBorder="1" applyAlignment="1">
      <alignment wrapText="1"/>
    </xf>
    <xf numFmtId="0" fontId="19" fillId="6" borderId="114" xfId="2" applyFont="1" applyFill="1" applyBorder="1" applyAlignment="1" applyProtection="1">
      <alignment horizontal="center" vertical="center" wrapText="1"/>
      <protection hidden="1"/>
    </xf>
    <xf numFmtId="0" fontId="19" fillId="6" borderId="115" xfId="2" applyFont="1" applyFill="1" applyBorder="1" applyAlignment="1" applyProtection="1">
      <alignment horizontal="center" vertical="center" wrapText="1"/>
      <protection hidden="1"/>
    </xf>
    <xf numFmtId="0" fontId="2" fillId="18" borderId="25" xfId="2" applyFont="1" applyFill="1" applyBorder="1" applyAlignment="1" applyProtection="1">
      <alignment horizontal="center" vertical="center"/>
      <protection hidden="1"/>
    </xf>
    <xf numFmtId="0" fontId="2" fillId="18" borderId="26" xfId="2" applyFont="1" applyFill="1" applyBorder="1" applyAlignment="1" applyProtection="1">
      <alignment horizontal="center" vertical="center"/>
      <protection hidden="1"/>
    </xf>
    <xf numFmtId="0" fontId="2" fillId="20" borderId="25" xfId="2" applyFont="1" applyFill="1" applyBorder="1" applyAlignment="1" applyProtection="1">
      <alignment horizontal="center" vertical="center"/>
      <protection locked="0"/>
    </xf>
    <xf numFmtId="0" fontId="2" fillId="20" borderId="26" xfId="2" applyFont="1" applyFill="1" applyBorder="1" applyAlignment="1" applyProtection="1">
      <alignment horizontal="center" vertical="center"/>
      <protection locked="0"/>
    </xf>
    <xf numFmtId="0" fontId="2" fillId="20" borderId="27" xfId="2" applyFont="1" applyFill="1" applyBorder="1" applyAlignment="1" applyProtection="1">
      <alignment horizontal="center" vertical="center"/>
      <protection locked="0"/>
    </xf>
    <xf numFmtId="0" fontId="2" fillId="22" borderId="0" xfId="2" applyFont="1" applyFill="1" applyBorder="1" applyAlignment="1" applyProtection="1">
      <alignment horizontal="left" vertical="center" wrapText="1"/>
      <protection hidden="1"/>
    </xf>
    <xf numFmtId="0" fontId="20" fillId="22" borderId="0" xfId="2" applyFont="1" applyFill="1" applyAlignment="1" applyProtection="1">
      <alignment horizontal="center" vertical="center"/>
      <protection hidden="1"/>
    </xf>
    <xf numFmtId="0" fontId="8" fillId="18" borderId="5" xfId="2" applyFont="1" applyFill="1" applyBorder="1" applyAlignment="1" applyProtection="1">
      <alignment horizontal="center" vertical="center"/>
      <protection hidden="1"/>
    </xf>
    <xf numFmtId="0" fontId="21" fillId="2" borderId="0" xfId="2" applyFont="1" applyFill="1" applyBorder="1" applyAlignment="1" applyProtection="1">
      <alignment horizontal="left" vertical="center" wrapText="1" indent="5"/>
      <protection hidden="1"/>
    </xf>
    <xf numFmtId="0" fontId="13" fillId="6" borderId="55" xfId="0" applyFont="1" applyFill="1" applyBorder="1" applyAlignment="1" applyProtection="1">
      <alignment horizontal="center" vertical="center"/>
      <protection hidden="1"/>
    </xf>
    <xf numFmtId="0" fontId="13" fillId="6" borderId="52" xfId="0" applyFont="1" applyFill="1" applyBorder="1" applyAlignment="1" applyProtection="1">
      <alignment horizontal="center" vertical="center"/>
      <protection hidden="1"/>
    </xf>
    <xf numFmtId="0" fontId="14" fillId="10" borderId="28" xfId="0" applyFont="1" applyFill="1" applyBorder="1" applyAlignment="1" applyProtection="1">
      <alignment horizontal="center" vertical="center" wrapText="1"/>
      <protection hidden="1"/>
    </xf>
    <xf numFmtId="0" fontId="20" fillId="22" borderId="0" xfId="2" applyFont="1" applyFill="1" applyAlignment="1" applyProtection="1">
      <alignment horizontal="left" vertical="center" indent="3"/>
      <protection hidden="1"/>
    </xf>
    <xf numFmtId="0" fontId="20" fillId="22" borderId="0" xfId="2" applyFont="1" applyFill="1" applyAlignment="1" applyProtection="1">
      <alignment horizontal="center" vertical="center" wrapText="1"/>
      <protection hidden="1"/>
    </xf>
    <xf numFmtId="0" fontId="2" fillId="22" borderId="0" xfId="2" applyFill="1" applyBorder="1" applyAlignment="1" applyProtection="1">
      <alignment horizontal="left" vertical="top" wrapText="1" indent="1"/>
      <protection hidden="1"/>
    </xf>
    <xf numFmtId="0" fontId="2" fillId="22" borderId="0" xfId="2" applyFill="1" applyBorder="1" applyAlignment="1" applyProtection="1">
      <alignment horizontal="left" vertical="center" wrapText="1" indent="1"/>
      <protection hidden="1"/>
    </xf>
    <xf numFmtId="0" fontId="2" fillId="4" borderId="32"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0" fontId="2" fillId="4" borderId="33" xfId="0" applyFont="1" applyFill="1" applyBorder="1" applyAlignment="1">
      <alignment horizontal="left" vertical="center" wrapText="1" indent="1"/>
    </xf>
    <xf numFmtId="0" fontId="16" fillId="6" borderId="29" xfId="0" applyFont="1" applyFill="1" applyBorder="1" applyAlignment="1" applyProtection="1">
      <alignment horizontal="center" vertical="center"/>
      <protection hidden="1"/>
    </xf>
    <xf numFmtId="0" fontId="16" fillId="6" borderId="30" xfId="0" applyFont="1" applyFill="1" applyBorder="1" applyAlignment="1" applyProtection="1">
      <alignment horizontal="center" vertical="center"/>
      <protection hidden="1"/>
    </xf>
    <xf numFmtId="0" fontId="16" fillId="6" borderId="31" xfId="0" applyFont="1" applyFill="1" applyBorder="1" applyAlignment="1" applyProtection="1">
      <alignment horizontal="center" vertical="center"/>
      <protection hidden="1"/>
    </xf>
    <xf numFmtId="0" fontId="14" fillId="4" borderId="29" xfId="1" applyNumberFormat="1" applyFont="1" applyFill="1" applyBorder="1" applyAlignment="1" applyProtection="1">
      <alignment horizontal="center" vertical="center" wrapText="1"/>
      <protection hidden="1"/>
    </xf>
    <xf numFmtId="0" fontId="14" fillId="4" borderId="31" xfId="1" applyNumberFormat="1" applyFont="1" applyFill="1" applyBorder="1" applyAlignment="1" applyProtection="1">
      <alignment horizontal="center" vertical="center" wrapText="1"/>
      <protection hidden="1"/>
    </xf>
    <xf numFmtId="0" fontId="14" fillId="4" borderId="35" xfId="1" applyNumberFormat="1" applyFont="1" applyFill="1" applyBorder="1" applyAlignment="1" applyProtection="1">
      <alignment horizontal="center" vertical="center" wrapText="1"/>
      <protection hidden="1"/>
    </xf>
    <xf numFmtId="0" fontId="14" fillId="4" borderId="20" xfId="1" applyNumberFormat="1" applyFont="1" applyFill="1" applyBorder="1" applyAlignment="1" applyProtection="1">
      <alignment horizontal="center" vertical="center" wrapText="1"/>
      <protection hidden="1"/>
    </xf>
    <xf numFmtId="0" fontId="14" fillId="4" borderId="32" xfId="1" applyNumberFormat="1" applyFont="1" applyFill="1" applyBorder="1" applyAlignment="1" applyProtection="1">
      <alignment horizontal="center" vertical="center" wrapText="1"/>
      <protection hidden="1"/>
    </xf>
    <xf numFmtId="0" fontId="14" fillId="4" borderId="33" xfId="1" applyNumberFormat="1" applyFont="1" applyFill="1" applyBorder="1" applyAlignment="1" applyProtection="1">
      <alignment horizontal="center" vertical="center" wrapText="1"/>
      <protection hidden="1"/>
    </xf>
    <xf numFmtId="0" fontId="2" fillId="10" borderId="39" xfId="2" applyFont="1" applyFill="1" applyBorder="1" applyAlignment="1" applyProtection="1">
      <alignment horizontal="left" indent="7"/>
      <protection hidden="1"/>
    </xf>
    <xf numFmtId="0" fontId="2" fillId="10" borderId="0" xfId="2" applyFont="1" applyFill="1" applyBorder="1" applyAlignment="1" applyProtection="1">
      <alignment horizontal="left" indent="7"/>
      <protection hidden="1"/>
    </xf>
    <xf numFmtId="0" fontId="2" fillId="10" borderId="40" xfId="2" applyFont="1" applyFill="1" applyBorder="1" applyAlignment="1" applyProtection="1">
      <alignment horizontal="left" indent="7"/>
      <protection hidden="1"/>
    </xf>
    <xf numFmtId="0" fontId="14" fillId="4" borderId="34" xfId="1" applyNumberFormat="1" applyFont="1" applyFill="1" applyBorder="1" applyAlignment="1" applyProtection="1">
      <alignment horizontal="center" vertical="center" wrapText="1"/>
      <protection hidden="1"/>
    </xf>
    <xf numFmtId="0" fontId="14" fillId="4" borderId="49" xfId="1" applyNumberFormat="1" applyFont="1" applyFill="1" applyBorder="1" applyAlignment="1" applyProtection="1">
      <alignment horizontal="center" vertical="center" wrapText="1"/>
      <protection hidden="1"/>
    </xf>
    <xf numFmtId="0" fontId="14" fillId="4" borderId="28" xfId="1" applyNumberFormat="1" applyFont="1" applyFill="1" applyBorder="1" applyAlignment="1" applyProtection="1">
      <alignment horizontal="center" vertical="center" wrapText="1"/>
      <protection hidden="1"/>
    </xf>
    <xf numFmtId="166" fontId="14" fillId="20" borderId="34" xfId="0" applyNumberFormat="1" applyFont="1" applyFill="1" applyBorder="1" applyAlignment="1" applyProtection="1">
      <alignment horizontal="center" vertical="center" wrapText="1"/>
      <protection locked="0"/>
    </xf>
    <xf numFmtId="166" fontId="14" fillId="20" borderId="49" xfId="0" applyNumberFormat="1" applyFont="1" applyFill="1" applyBorder="1" applyAlignment="1" applyProtection="1">
      <alignment horizontal="center" vertical="center" wrapText="1"/>
      <protection locked="0"/>
    </xf>
    <xf numFmtId="166" fontId="14" fillId="20" borderId="28" xfId="0" applyNumberFormat="1" applyFont="1" applyFill="1" applyBorder="1" applyAlignment="1" applyProtection="1">
      <alignment horizontal="center" vertical="center" wrapText="1"/>
      <protection locked="0"/>
    </xf>
    <xf numFmtId="0" fontId="2" fillId="10" borderId="36" xfId="2" applyFont="1" applyFill="1" applyBorder="1" applyAlignment="1" applyProtection="1">
      <alignment horizontal="left" wrapText="1" indent="6"/>
      <protection hidden="1"/>
    </xf>
    <xf numFmtId="0" fontId="2" fillId="10" borderId="37" xfId="2" applyFont="1" applyFill="1" applyBorder="1" applyAlignment="1" applyProtection="1">
      <alignment horizontal="left" wrapText="1" indent="6"/>
      <protection hidden="1"/>
    </xf>
    <xf numFmtId="0" fontId="2" fillId="10" borderId="38" xfId="2" applyFont="1" applyFill="1" applyBorder="1" applyAlignment="1" applyProtection="1">
      <alignment horizontal="left" wrapText="1" indent="6"/>
      <protection hidden="1"/>
    </xf>
    <xf numFmtId="0" fontId="2" fillId="2" borderId="0" xfId="2" applyFill="1" applyBorder="1" applyAlignment="1" applyProtection="1">
      <alignment horizontal="left" vertical="center" wrapText="1" indent="5"/>
      <protection hidden="1"/>
    </xf>
    <xf numFmtId="0" fontId="2" fillId="10" borderId="22" xfId="2" applyFont="1" applyFill="1" applyBorder="1" applyAlignment="1" applyProtection="1">
      <alignment horizontal="left" indent="7"/>
      <protection hidden="1"/>
    </xf>
    <xf numFmtId="0" fontId="2" fillId="10" borderId="23" xfId="2" applyFont="1" applyFill="1" applyBorder="1" applyAlignment="1" applyProtection="1">
      <alignment horizontal="left" indent="7"/>
      <protection hidden="1"/>
    </xf>
    <xf numFmtId="0" fontId="2" fillId="10" borderId="24" xfId="2" applyFont="1" applyFill="1" applyBorder="1" applyAlignment="1" applyProtection="1">
      <alignment horizontal="left" indent="7"/>
      <protection hidden="1"/>
    </xf>
    <xf numFmtId="0" fontId="21" fillId="10" borderId="84" xfId="2" applyFont="1" applyFill="1" applyBorder="1" applyAlignment="1">
      <alignment horizontal="left" vertical="center" wrapText="1" indent="1"/>
    </xf>
    <xf numFmtId="0" fontId="21" fillId="10" borderId="85" xfId="2" applyFont="1" applyFill="1" applyBorder="1" applyAlignment="1">
      <alignment horizontal="left" vertical="center" wrapText="1" indent="1"/>
    </xf>
    <xf numFmtId="0" fontId="21" fillId="10" borderId="86" xfId="2" applyFont="1" applyFill="1" applyBorder="1" applyAlignment="1">
      <alignment horizontal="left" vertical="center" wrapText="1" indent="1"/>
    </xf>
    <xf numFmtId="0" fontId="19" fillId="6" borderId="79" xfId="2" applyFont="1" applyFill="1" applyBorder="1" applyAlignment="1" applyProtection="1">
      <alignment horizontal="left" vertical="center" wrapText="1" indent="1"/>
      <protection hidden="1"/>
    </xf>
    <xf numFmtId="0" fontId="2" fillId="11" borderId="78" xfId="2" applyFont="1" applyFill="1" applyBorder="1" applyAlignment="1" applyProtection="1">
      <alignment horizontal="left" vertical="center" wrapText="1" indent="1"/>
      <protection hidden="1"/>
    </xf>
    <xf numFmtId="0" fontId="2" fillId="11" borderId="79" xfId="2" applyFont="1" applyFill="1" applyBorder="1" applyAlignment="1" applyProtection="1">
      <alignment horizontal="left" vertical="center" wrapText="1" indent="1"/>
      <protection hidden="1"/>
    </xf>
    <xf numFmtId="0" fontId="2" fillId="11" borderId="83" xfId="2" applyFont="1" applyFill="1" applyBorder="1" applyAlignment="1" applyProtection="1">
      <alignment horizontal="left" vertical="center" wrapText="1" indent="1"/>
      <protection hidden="1"/>
    </xf>
    <xf numFmtId="0" fontId="21" fillId="2" borderId="0" xfId="2" applyFont="1" applyFill="1" applyBorder="1" applyAlignment="1" applyProtection="1">
      <alignment horizontal="left" vertical="center" wrapText="1" indent="4"/>
      <protection hidden="1"/>
    </xf>
    <xf numFmtId="0" fontId="11" fillId="6" borderId="0" xfId="0" applyFont="1" applyFill="1" applyBorder="1" applyAlignment="1">
      <alignment horizontal="center" vertical="center" wrapText="1"/>
    </xf>
    <xf numFmtId="0" fontId="2" fillId="10" borderId="39" xfId="2" applyFill="1" applyBorder="1" applyAlignment="1" applyProtection="1">
      <alignment horizontal="left" vertical="center" wrapText="1" indent="8"/>
      <protection hidden="1"/>
    </xf>
    <xf numFmtId="0" fontId="2" fillId="10" borderId="0" xfId="2" applyFill="1" applyBorder="1" applyAlignment="1" applyProtection="1">
      <alignment horizontal="left" vertical="center" wrapText="1" indent="8"/>
      <protection hidden="1"/>
    </xf>
    <xf numFmtId="0" fontId="2" fillId="10" borderId="40" xfId="2" applyFill="1" applyBorder="1" applyAlignment="1" applyProtection="1">
      <alignment horizontal="left" vertical="center" wrapText="1" indent="8"/>
      <protection hidden="1"/>
    </xf>
    <xf numFmtId="0" fontId="2" fillId="10" borderId="39" xfId="2" applyFill="1" applyBorder="1" applyAlignment="1" applyProtection="1">
      <alignment horizontal="left" vertical="center" indent="9"/>
      <protection hidden="1"/>
    </xf>
    <xf numFmtId="0" fontId="2" fillId="10" borderId="0" xfId="2" applyFill="1" applyBorder="1" applyAlignment="1" applyProtection="1">
      <alignment horizontal="left" vertical="center" indent="9"/>
      <protection hidden="1"/>
    </xf>
    <xf numFmtId="0" fontId="2" fillId="10" borderId="40" xfId="2" applyFill="1" applyBorder="1" applyAlignment="1" applyProtection="1">
      <alignment horizontal="left" vertical="center" indent="9"/>
      <protection hidden="1"/>
    </xf>
    <xf numFmtId="0" fontId="2" fillId="10" borderId="39" xfId="2" quotePrefix="1" applyFill="1" applyBorder="1" applyAlignment="1" applyProtection="1">
      <alignment horizontal="left" vertical="center" indent="11"/>
      <protection hidden="1"/>
    </xf>
    <xf numFmtId="0" fontId="2" fillId="10" borderId="0" xfId="2" applyFill="1" applyBorder="1" applyAlignment="1" applyProtection="1">
      <alignment horizontal="left" vertical="center" indent="11"/>
      <protection hidden="1"/>
    </xf>
    <xf numFmtId="0" fontId="2" fillId="10" borderId="40" xfId="2" applyFill="1" applyBorder="1" applyAlignment="1" applyProtection="1">
      <alignment horizontal="left" vertical="center" indent="11"/>
      <protection hidden="1"/>
    </xf>
    <xf numFmtId="0" fontId="2" fillId="10" borderId="22" xfId="2" quotePrefix="1" applyFill="1" applyBorder="1" applyAlignment="1" applyProtection="1">
      <alignment horizontal="left" vertical="center" indent="11"/>
      <protection hidden="1"/>
    </xf>
    <xf numFmtId="0" fontId="2" fillId="10" borderId="23" xfId="2" quotePrefix="1" applyFill="1" applyBorder="1" applyAlignment="1" applyProtection="1">
      <alignment horizontal="left" vertical="center" indent="11"/>
      <protection hidden="1"/>
    </xf>
    <xf numFmtId="0" fontId="2" fillId="10" borderId="24" xfId="2" quotePrefix="1" applyFill="1" applyBorder="1" applyAlignment="1" applyProtection="1">
      <alignment horizontal="left" vertical="center" indent="11"/>
      <protection hidden="1"/>
    </xf>
    <xf numFmtId="0" fontId="14" fillId="20" borderId="4"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horizontal="left" vertical="center" wrapText="1" indent="6"/>
      <protection hidden="1"/>
    </xf>
    <xf numFmtId="0" fontId="2" fillId="10" borderId="36" xfId="2" applyFont="1" applyFill="1" applyBorder="1" applyAlignment="1" applyProtection="1">
      <alignment horizontal="left" vertical="center" wrapText="1" indent="7"/>
      <protection hidden="1"/>
    </xf>
    <xf numFmtId="0" fontId="2" fillId="10" borderId="37" xfId="2" applyFont="1" applyFill="1" applyBorder="1" applyAlignment="1" applyProtection="1">
      <alignment horizontal="left" vertical="center" wrapText="1" indent="7"/>
      <protection hidden="1"/>
    </xf>
    <xf numFmtId="0" fontId="2" fillId="10" borderId="38" xfId="2" applyFont="1" applyFill="1" applyBorder="1" applyAlignment="1" applyProtection="1">
      <alignment horizontal="left" vertical="center" wrapText="1" indent="7"/>
      <protection hidden="1"/>
    </xf>
    <xf numFmtId="0" fontId="11" fillId="6" borderId="10" xfId="0" applyFont="1" applyFill="1" applyBorder="1" applyAlignment="1" applyProtection="1">
      <alignment horizontal="center" vertical="center"/>
      <protection hidden="1"/>
    </xf>
    <xf numFmtId="0" fontId="11" fillId="6" borderId="7" xfId="0" applyFont="1" applyFill="1" applyBorder="1" applyAlignment="1" applyProtection="1">
      <alignment horizontal="center" vertical="center"/>
      <protection hidden="1"/>
    </xf>
    <xf numFmtId="0" fontId="11" fillId="6" borderId="8" xfId="0" applyFont="1" applyFill="1" applyBorder="1" applyAlignment="1" applyProtection="1">
      <alignment horizontal="center" vertical="center"/>
      <protection hidden="1"/>
    </xf>
    <xf numFmtId="0" fontId="20" fillId="27" borderId="0" xfId="0" applyFont="1" applyFill="1" applyBorder="1" applyAlignment="1" applyProtection="1">
      <alignment horizontal="left" vertical="center" wrapText="1" indent="6"/>
      <protection hidden="1"/>
    </xf>
    <xf numFmtId="0" fontId="21" fillId="10" borderId="78" xfId="2" applyFont="1" applyFill="1" applyBorder="1" applyAlignment="1">
      <alignment horizontal="left" vertical="center" wrapText="1" indent="1"/>
    </xf>
    <xf numFmtId="0" fontId="21" fillId="10" borderId="79" xfId="2" applyFont="1" applyFill="1" applyBorder="1" applyAlignment="1">
      <alignment horizontal="left" vertical="center" wrapText="1" indent="1"/>
    </xf>
    <xf numFmtId="0" fontId="21" fillId="10" borderId="83" xfId="2" applyFont="1" applyFill="1" applyBorder="1" applyAlignment="1">
      <alignment horizontal="left" vertical="center" wrapText="1" indent="1"/>
    </xf>
    <xf numFmtId="0" fontId="2" fillId="11" borderId="36" xfId="2" applyFont="1" applyFill="1" applyBorder="1" applyAlignment="1" applyProtection="1">
      <alignment horizontal="left" vertical="center" wrapText="1" indent="1"/>
      <protection hidden="1"/>
    </xf>
    <xf numFmtId="0" fontId="2" fillId="11" borderId="37" xfId="2" applyFont="1" applyFill="1" applyBorder="1" applyAlignment="1" applyProtection="1">
      <alignment horizontal="left" vertical="center" wrapText="1" indent="1"/>
      <protection hidden="1"/>
    </xf>
    <xf numFmtId="0" fontId="2" fillId="11" borderId="38" xfId="2" applyFont="1" applyFill="1" applyBorder="1" applyAlignment="1" applyProtection="1">
      <alignment horizontal="left" vertical="center" wrapText="1" indent="1"/>
      <protection hidden="1"/>
    </xf>
    <xf numFmtId="0" fontId="2" fillId="10" borderId="121" xfId="2" applyFill="1" applyBorder="1" applyAlignment="1" applyProtection="1">
      <alignment horizontal="left" vertical="center" wrapText="1" indent="1"/>
      <protection hidden="1"/>
    </xf>
    <xf numFmtId="0" fontId="2" fillId="10" borderId="122" xfId="2" applyFill="1" applyBorder="1" applyAlignment="1" applyProtection="1">
      <alignment horizontal="left" vertical="center" indent="1"/>
      <protection hidden="1"/>
    </xf>
    <xf numFmtId="0" fontId="2" fillId="10" borderId="4" xfId="2" applyFill="1" applyBorder="1" applyAlignment="1" applyProtection="1">
      <alignment horizontal="left" vertical="center" wrapText="1" indent="1"/>
      <protection hidden="1"/>
    </xf>
    <xf numFmtId="0" fontId="2" fillId="10" borderId="91" xfId="2" applyFill="1" applyBorder="1" applyAlignment="1" applyProtection="1">
      <alignment horizontal="left" vertical="center" wrapText="1" indent="1"/>
      <protection hidden="1"/>
    </xf>
    <xf numFmtId="0" fontId="2" fillId="10" borderId="93" xfId="2" applyFill="1" applyBorder="1" applyAlignment="1" applyProtection="1">
      <alignment horizontal="left" vertical="center" wrapText="1" indent="1"/>
      <protection hidden="1"/>
    </xf>
    <xf numFmtId="0" fontId="2" fillId="10" borderId="35" xfId="2" applyFill="1" applyBorder="1" applyAlignment="1" applyProtection="1">
      <alignment horizontal="left" vertical="center" wrapText="1" indent="1"/>
      <protection hidden="1"/>
    </xf>
    <xf numFmtId="0" fontId="2" fillId="10" borderId="20" xfId="2" applyFill="1" applyBorder="1" applyAlignment="1" applyProtection="1">
      <alignment horizontal="left" vertical="center" wrapText="1" indent="1"/>
      <protection hidden="1"/>
    </xf>
    <xf numFmtId="0" fontId="2" fillId="10" borderId="119" xfId="2" applyFill="1" applyBorder="1" applyAlignment="1" applyProtection="1">
      <alignment horizontal="left" vertical="center" wrapText="1" indent="1"/>
      <protection hidden="1"/>
    </xf>
    <xf numFmtId="0" fontId="2" fillId="10" borderId="120" xfId="2" applyFill="1" applyBorder="1" applyAlignment="1" applyProtection="1">
      <alignment horizontal="left" vertical="center" wrapText="1" indent="1"/>
      <protection hidden="1"/>
    </xf>
    <xf numFmtId="0" fontId="13" fillId="6" borderId="55" xfId="0" applyFont="1" applyFill="1" applyBorder="1" applyAlignment="1" applyProtection="1">
      <alignment horizontal="left" vertical="center" indent="1"/>
      <protection hidden="1"/>
    </xf>
    <xf numFmtId="0" fontId="13" fillId="6" borderId="30" xfId="0" applyFont="1" applyFill="1" applyBorder="1" applyAlignment="1" applyProtection="1">
      <alignment horizontal="left" vertical="center" indent="1"/>
      <protection hidden="1"/>
    </xf>
    <xf numFmtId="0" fontId="13" fillId="6" borderId="31" xfId="0" applyFont="1" applyFill="1" applyBorder="1" applyAlignment="1" applyProtection="1">
      <alignment horizontal="left" vertical="center" indent="1"/>
      <protection hidden="1"/>
    </xf>
    <xf numFmtId="0" fontId="20" fillId="22" borderId="0" xfId="0" applyFont="1" applyFill="1" applyBorder="1" applyAlignment="1" applyProtection="1">
      <alignment horizontal="left" vertical="center" wrapText="1" indent="5"/>
      <protection hidden="1"/>
    </xf>
    <xf numFmtId="0" fontId="2" fillId="18" borderId="27" xfId="2" applyFont="1" applyFill="1" applyBorder="1" applyAlignment="1" applyProtection="1">
      <alignment horizontal="center" vertical="center"/>
      <protection hidden="1"/>
    </xf>
    <xf numFmtId="0" fontId="2" fillId="20" borderId="2" xfId="2" applyFont="1" applyFill="1" applyBorder="1" applyAlignment="1" applyProtection="1">
      <alignment horizontal="center" vertical="center"/>
      <protection locked="0"/>
    </xf>
    <xf numFmtId="0" fontId="11" fillId="6" borderId="4" xfId="0" applyFont="1" applyFill="1" applyBorder="1" applyAlignment="1" applyProtection="1">
      <alignment horizontal="center" vertical="center"/>
      <protection hidden="1"/>
    </xf>
    <xf numFmtId="0" fontId="21" fillId="2" borderId="78" xfId="2" applyFont="1" applyFill="1" applyBorder="1" applyAlignment="1">
      <alignment horizontal="left" vertical="center" wrapText="1" indent="1"/>
    </xf>
    <xf numFmtId="0" fontId="21" fillId="2" borderId="79" xfId="2" applyFont="1" applyFill="1" applyBorder="1" applyAlignment="1">
      <alignment horizontal="left" vertical="center" wrapText="1" indent="1"/>
    </xf>
    <xf numFmtId="0" fontId="21" fillId="2" borderId="83" xfId="2" applyFont="1" applyFill="1" applyBorder="1" applyAlignment="1">
      <alignment horizontal="left" vertical="center" wrapText="1" indent="1"/>
    </xf>
    <xf numFmtId="0" fontId="2" fillId="10" borderId="39" xfId="2" applyFill="1" applyBorder="1" applyAlignment="1" applyProtection="1">
      <alignment horizontal="left" vertical="center" wrapText="1" indent="9"/>
      <protection hidden="1"/>
    </xf>
    <xf numFmtId="0" fontId="2" fillId="10" borderId="0" xfId="2" applyFill="1" applyBorder="1" applyAlignment="1" applyProtection="1">
      <alignment horizontal="left" vertical="center" wrapText="1" indent="9"/>
      <protection hidden="1"/>
    </xf>
    <xf numFmtId="0" fontId="2" fillId="10" borderId="40" xfId="2" applyFill="1" applyBorder="1" applyAlignment="1" applyProtection="1">
      <alignment horizontal="left" vertical="center" wrapText="1" indent="9"/>
      <protection hidden="1"/>
    </xf>
    <xf numFmtId="0" fontId="2" fillId="10" borderId="22" xfId="2" applyFill="1" applyBorder="1" applyAlignment="1" applyProtection="1">
      <alignment horizontal="left" vertical="center" wrapText="1" indent="9"/>
      <protection hidden="1"/>
    </xf>
    <xf numFmtId="0" fontId="2" fillId="10" borderId="23" xfId="2" applyFill="1" applyBorder="1" applyAlignment="1" applyProtection="1">
      <alignment horizontal="left" vertical="center" wrapText="1" indent="9"/>
      <protection hidden="1"/>
    </xf>
    <xf numFmtId="0" fontId="2" fillId="10" borderId="24" xfId="2" applyFill="1" applyBorder="1" applyAlignment="1" applyProtection="1">
      <alignment horizontal="left" vertical="center" wrapText="1" indent="9"/>
      <protection hidden="1"/>
    </xf>
    <xf numFmtId="0" fontId="14" fillId="15" borderId="4" xfId="0" applyFont="1" applyFill="1" applyBorder="1" applyAlignment="1">
      <alignment horizontal="left" vertical="center" wrapText="1"/>
    </xf>
    <xf numFmtId="0" fontId="2" fillId="4" borderId="8" xfId="0" applyFont="1" applyFill="1" applyBorder="1" applyAlignment="1">
      <alignment horizontal="left" vertical="center" wrapText="1" indent="1"/>
    </xf>
    <xf numFmtId="0" fontId="2" fillId="4" borderId="29" xfId="2" applyFill="1" applyBorder="1" applyAlignment="1" applyProtection="1">
      <alignment horizontal="left" indent="1"/>
      <protection hidden="1"/>
    </xf>
    <xf numFmtId="0" fontId="2" fillId="4" borderId="30" xfId="2" applyFill="1" applyBorder="1" applyAlignment="1" applyProtection="1">
      <alignment horizontal="left" indent="1"/>
      <protection hidden="1"/>
    </xf>
    <xf numFmtId="0" fontId="21" fillId="10" borderId="36" xfId="2" applyFont="1" applyFill="1" applyBorder="1" applyAlignment="1" applyProtection="1">
      <alignment horizontal="left" vertical="center" wrapText="1" indent="6"/>
      <protection hidden="1"/>
    </xf>
    <xf numFmtId="0" fontId="21" fillId="10" borderId="37" xfId="2" applyFont="1" applyFill="1" applyBorder="1" applyAlignment="1" applyProtection="1">
      <alignment horizontal="left" vertical="center" wrapText="1" indent="6"/>
      <protection hidden="1"/>
    </xf>
    <xf numFmtId="0" fontId="21" fillId="10" borderId="38" xfId="2" applyFont="1" applyFill="1" applyBorder="1" applyAlignment="1" applyProtection="1">
      <alignment horizontal="left" vertical="center" wrapText="1" indent="6"/>
      <protection hidden="1"/>
    </xf>
    <xf numFmtId="0" fontId="20" fillId="27" borderId="3" xfId="2" applyFont="1" applyFill="1" applyBorder="1" applyAlignment="1" applyProtection="1">
      <alignment horizontal="center"/>
      <protection hidden="1"/>
    </xf>
    <xf numFmtId="0" fontId="75" fillId="15" borderId="28" xfId="0" applyFont="1" applyFill="1" applyBorder="1" applyAlignment="1">
      <alignment horizontal="center" vertical="center" wrapText="1"/>
    </xf>
    <xf numFmtId="0" fontId="106" fillId="10" borderId="10" xfId="3" applyFont="1" applyFill="1" applyBorder="1" applyAlignment="1">
      <alignment horizontal="left" vertical="center" indent="1"/>
    </xf>
    <xf numFmtId="0" fontId="106" fillId="10" borderId="8" xfId="3" applyFont="1" applyFill="1" applyBorder="1" applyAlignment="1">
      <alignment horizontal="left" vertical="center" indent="1"/>
    </xf>
    <xf numFmtId="0" fontId="5" fillId="3" borderId="10" xfId="0" applyFont="1" applyFill="1" applyBorder="1" applyAlignment="1" applyProtection="1">
      <alignment horizontal="left" vertical="center" indent="1"/>
      <protection hidden="1"/>
    </xf>
    <xf numFmtId="0" fontId="5" fillId="3" borderId="8" xfId="0" applyFont="1" applyFill="1" applyBorder="1" applyAlignment="1" applyProtection="1">
      <alignment horizontal="left" vertical="center" indent="1"/>
      <protection hidden="1"/>
    </xf>
    <xf numFmtId="0" fontId="5" fillId="3" borderId="0" xfId="2" applyFont="1" applyFill="1" applyAlignment="1" applyProtection="1">
      <alignment horizontal="left" vertical="center" wrapText="1"/>
      <protection hidden="1"/>
    </xf>
    <xf numFmtId="0" fontId="46" fillId="3" borderId="4" xfId="0" applyFont="1" applyFill="1" applyBorder="1" applyAlignment="1" applyProtection="1">
      <alignment horizontal="center" vertical="center" wrapText="1"/>
      <protection hidden="1"/>
    </xf>
    <xf numFmtId="0" fontId="45" fillId="3" borderId="0" xfId="2" applyFont="1" applyFill="1" applyAlignment="1">
      <alignment horizontal="left" vertical="center" wrapText="1"/>
    </xf>
    <xf numFmtId="0" fontId="46" fillId="3" borderId="29" xfId="0" applyFont="1" applyFill="1" applyBorder="1" applyAlignment="1" applyProtection="1">
      <alignment horizontal="left" vertical="center" indent="1"/>
      <protection hidden="1"/>
    </xf>
    <xf numFmtId="0" fontId="46" fillId="3" borderId="31" xfId="0" applyFont="1" applyFill="1" applyBorder="1" applyAlignment="1" applyProtection="1">
      <alignment horizontal="left" vertical="center" indent="1"/>
      <protection hidden="1"/>
    </xf>
    <xf numFmtId="0" fontId="46" fillId="3" borderId="32" xfId="0" applyFont="1" applyFill="1" applyBorder="1" applyAlignment="1" applyProtection="1">
      <alignment horizontal="left" vertical="center" indent="1"/>
      <protection hidden="1"/>
    </xf>
    <xf numFmtId="0" fontId="46" fillId="3" borderId="33" xfId="0" applyFont="1" applyFill="1" applyBorder="1" applyAlignment="1" applyProtection="1">
      <alignment horizontal="left" vertical="center" indent="1"/>
      <protection hidden="1"/>
    </xf>
    <xf numFmtId="0" fontId="9" fillId="3" borderId="0" xfId="0" applyFont="1" applyFill="1" applyBorder="1" applyAlignment="1" applyProtection="1">
      <alignment horizontal="left" vertical="center" indent="1"/>
      <protection hidden="1"/>
    </xf>
    <xf numFmtId="0" fontId="10" fillId="3" borderId="0" xfId="0" applyFont="1" applyFill="1" applyBorder="1" applyAlignment="1" applyProtection="1">
      <alignment horizontal="left" vertical="center" indent="1"/>
      <protection hidden="1"/>
    </xf>
    <xf numFmtId="0" fontId="8" fillId="18" borderId="25" xfId="2" applyFont="1" applyFill="1" applyBorder="1" applyAlignment="1" applyProtection="1">
      <alignment horizontal="center"/>
      <protection hidden="1"/>
    </xf>
    <xf numFmtId="0" fontId="8" fillId="18" borderId="26" xfId="2" applyFont="1" applyFill="1" applyBorder="1" applyAlignment="1" applyProtection="1">
      <alignment horizontal="center"/>
      <protection hidden="1"/>
    </xf>
    <xf numFmtId="0" fontId="8" fillId="20" borderId="25" xfId="2" applyFont="1" applyFill="1" applyBorder="1" applyAlignment="1" applyProtection="1">
      <alignment horizontal="center" vertical="center"/>
      <protection locked="0"/>
    </xf>
    <xf numFmtId="0" fontId="8" fillId="20" borderId="26" xfId="2" applyFont="1" applyFill="1" applyBorder="1" applyAlignment="1" applyProtection="1">
      <alignment horizontal="center" vertical="center"/>
      <protection locked="0"/>
    </xf>
    <xf numFmtId="0" fontId="8" fillId="20" borderId="27" xfId="2" applyFont="1" applyFill="1" applyBorder="1" applyAlignment="1" applyProtection="1">
      <alignment horizontal="center" vertical="center"/>
      <protection locked="0"/>
    </xf>
    <xf numFmtId="0" fontId="35" fillId="3" borderId="0" xfId="0" applyFont="1" applyFill="1" applyBorder="1" applyAlignment="1" applyProtection="1">
      <alignment horizontal="left" vertical="center" indent="1"/>
      <protection hidden="1"/>
    </xf>
    <xf numFmtId="0" fontId="11" fillId="3" borderId="10"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57" fillId="11" borderId="45" xfId="2" applyFont="1" applyFill="1" applyBorder="1" applyAlignment="1" applyProtection="1">
      <alignment horizontal="left" vertical="center" wrapText="1" indent="1"/>
      <protection hidden="1"/>
    </xf>
    <xf numFmtId="0" fontId="57" fillId="11" borderId="46" xfId="2" applyFont="1" applyFill="1" applyBorder="1" applyAlignment="1" applyProtection="1">
      <alignment horizontal="left" vertical="center" wrapText="1" indent="1"/>
      <protection hidden="1"/>
    </xf>
    <xf numFmtId="0" fontId="13" fillId="3" borderId="10" xfId="0" applyFont="1" applyFill="1" applyBorder="1" applyAlignment="1" applyProtection="1">
      <alignment horizontal="left" vertical="center" indent="1"/>
      <protection hidden="1"/>
    </xf>
    <xf numFmtId="0" fontId="13" fillId="3" borderId="7" xfId="0" applyFont="1" applyFill="1" applyBorder="1" applyAlignment="1" applyProtection="1">
      <alignment horizontal="left" vertical="center" indent="1"/>
      <protection hidden="1"/>
    </xf>
    <xf numFmtId="0" fontId="13" fillId="3" borderId="7" xfId="0" applyFont="1" applyFill="1" applyBorder="1" applyAlignment="1" applyProtection="1">
      <alignment horizontal="center" vertical="center"/>
      <protection hidden="1"/>
    </xf>
    <xf numFmtId="0" fontId="13" fillId="3" borderId="8" xfId="0" applyFont="1" applyFill="1" applyBorder="1" applyAlignment="1" applyProtection="1">
      <alignment horizontal="center" vertical="center"/>
      <protection hidden="1"/>
    </xf>
    <xf numFmtId="0" fontId="11" fillId="3" borderId="32" xfId="2" applyFont="1" applyFill="1" applyBorder="1" applyAlignment="1" applyProtection="1">
      <alignment horizontal="left" vertical="center" wrapText="1" indent="1"/>
      <protection hidden="1"/>
    </xf>
    <xf numFmtId="0" fontId="11" fillId="3" borderId="3" xfId="2" applyFont="1" applyFill="1" applyBorder="1" applyAlignment="1" applyProtection="1">
      <alignment horizontal="left" vertical="center" wrapText="1" indent="1"/>
      <protection hidden="1"/>
    </xf>
    <xf numFmtId="0" fontId="16" fillId="3" borderId="41" xfId="0" applyFont="1" applyFill="1" applyBorder="1" applyAlignment="1" applyProtection="1">
      <alignment horizontal="center" vertical="center"/>
      <protection hidden="1"/>
    </xf>
    <xf numFmtId="0" fontId="2" fillId="4" borderId="29" xfId="0" applyFont="1" applyFill="1" applyBorder="1" applyAlignment="1" applyProtection="1">
      <alignment horizontal="left" vertical="center" wrapText="1"/>
      <protection hidden="1"/>
    </xf>
    <xf numFmtId="0" fontId="2" fillId="4" borderId="30" xfId="0" applyFont="1" applyFill="1" applyBorder="1" applyAlignment="1" applyProtection="1">
      <alignment horizontal="left" vertical="center" wrapText="1"/>
      <protection hidden="1"/>
    </xf>
    <xf numFmtId="0" fontId="2" fillId="4" borderId="31" xfId="0" applyFont="1" applyFill="1" applyBorder="1" applyAlignment="1" applyProtection="1">
      <alignment horizontal="left" vertical="center" wrapText="1"/>
      <protection hidden="1"/>
    </xf>
    <xf numFmtId="0" fontId="2" fillId="20" borderId="3" xfId="0" applyFont="1" applyFill="1" applyBorder="1" applyAlignment="1" applyProtection="1">
      <alignment horizontal="left" vertical="center" wrapText="1" indent="1"/>
      <protection locked="0"/>
    </xf>
    <xf numFmtId="0" fontId="2" fillId="20" borderId="33" xfId="0" applyFont="1" applyFill="1" applyBorder="1" applyAlignment="1" applyProtection="1">
      <alignment horizontal="left" vertical="center" wrapText="1" indent="1"/>
      <protection locked="0"/>
    </xf>
    <xf numFmtId="0" fontId="2" fillId="4" borderId="8" xfId="0" applyFont="1" applyFill="1" applyBorder="1" applyAlignment="1" applyProtection="1">
      <alignment horizontal="left" vertical="center" wrapText="1"/>
      <protection hidden="1"/>
    </xf>
    <xf numFmtId="0" fontId="19" fillId="3" borderId="25" xfId="2" applyFont="1" applyFill="1" applyBorder="1" applyAlignment="1" applyProtection="1">
      <alignment horizontal="left" vertical="center" wrapText="1" indent="1"/>
      <protection hidden="1"/>
    </xf>
    <xf numFmtId="0" fontId="19" fillId="3" borderId="26" xfId="2" applyFont="1" applyFill="1" applyBorder="1" applyAlignment="1" applyProtection="1">
      <alignment horizontal="left" vertical="center" wrapText="1" indent="1"/>
      <protection hidden="1"/>
    </xf>
    <xf numFmtId="0" fontId="2" fillId="10" borderId="22" xfId="2" applyFill="1" applyBorder="1" applyAlignment="1" applyProtection="1">
      <alignment horizontal="left" indent="7"/>
      <protection hidden="1"/>
    </xf>
    <xf numFmtId="0" fontId="2" fillId="10" borderId="23" xfId="2" applyFill="1" applyBorder="1" applyAlignment="1" applyProtection="1">
      <alignment horizontal="left" indent="7"/>
      <protection hidden="1"/>
    </xf>
    <xf numFmtId="0" fontId="2" fillId="10" borderId="24" xfId="2" applyFill="1" applyBorder="1" applyAlignment="1" applyProtection="1">
      <alignment horizontal="left" indent="7"/>
      <protection hidden="1"/>
    </xf>
    <xf numFmtId="0" fontId="2" fillId="10" borderId="36" xfId="2" applyFill="1" applyBorder="1" applyAlignment="1" applyProtection="1">
      <alignment horizontal="left" indent="6"/>
      <protection hidden="1"/>
    </xf>
    <xf numFmtId="0" fontId="2" fillId="10" borderId="37" xfId="2" applyFill="1" applyBorder="1" applyAlignment="1" applyProtection="1">
      <alignment horizontal="left" indent="6"/>
      <protection hidden="1"/>
    </xf>
    <xf numFmtId="0" fontId="2" fillId="10" borderId="38" xfId="2" applyFill="1" applyBorder="1" applyAlignment="1" applyProtection="1">
      <alignment horizontal="left" indent="6"/>
      <protection hidden="1"/>
    </xf>
    <xf numFmtId="0" fontId="16" fillId="3" borderId="51" xfId="0" applyFont="1" applyFill="1" applyBorder="1" applyAlignment="1" applyProtection="1">
      <alignment horizontal="center" vertical="center"/>
      <protection hidden="1"/>
    </xf>
    <xf numFmtId="0" fontId="16" fillId="3" borderId="52" xfId="0" applyFont="1" applyFill="1" applyBorder="1" applyAlignment="1" applyProtection="1">
      <alignment horizontal="center" vertical="center"/>
      <protection hidden="1"/>
    </xf>
    <xf numFmtId="0" fontId="14" fillId="20" borderId="32" xfId="0" applyFont="1" applyFill="1" applyBorder="1" applyAlignment="1" applyProtection="1">
      <alignment horizontal="left" vertical="center" wrapText="1" indent="1"/>
      <protection locked="0"/>
    </xf>
    <xf numFmtId="0" fontId="14" fillId="20" borderId="3" xfId="0" applyFont="1" applyFill="1" applyBorder="1" applyAlignment="1" applyProtection="1">
      <alignment horizontal="left" vertical="center" wrapText="1" indent="1"/>
      <protection locked="0"/>
    </xf>
    <xf numFmtId="0" fontId="14" fillId="20" borderId="33" xfId="0" applyFont="1" applyFill="1" applyBorder="1" applyAlignment="1" applyProtection="1">
      <alignment horizontal="left" vertical="center" wrapText="1" indent="1"/>
      <protection locked="0"/>
    </xf>
    <xf numFmtId="0" fontId="2" fillId="10" borderId="36" xfId="2" applyFill="1" applyBorder="1" applyAlignment="1" applyProtection="1">
      <alignment horizontal="left" vertical="center" wrapText="1" indent="6"/>
      <protection hidden="1"/>
    </xf>
    <xf numFmtId="0" fontId="2" fillId="10" borderId="37" xfId="2" applyFill="1" applyBorder="1" applyAlignment="1" applyProtection="1">
      <alignment horizontal="left" vertical="center" wrapText="1" indent="6"/>
      <protection hidden="1"/>
    </xf>
    <xf numFmtId="0" fontId="2" fillId="10" borderId="38" xfId="2" applyFill="1" applyBorder="1" applyAlignment="1" applyProtection="1">
      <alignment horizontal="left" vertical="center" wrapText="1" indent="6"/>
      <protection hidden="1"/>
    </xf>
    <xf numFmtId="0" fontId="11" fillId="3" borderId="29" xfId="2" applyFont="1" applyFill="1" applyBorder="1" applyAlignment="1" applyProtection="1">
      <alignment horizontal="left" vertical="center" wrapText="1" indent="1"/>
      <protection hidden="1"/>
    </xf>
    <xf numFmtId="0" fontId="11" fillId="3" borderId="30" xfId="2" applyFont="1" applyFill="1" applyBorder="1" applyAlignment="1" applyProtection="1">
      <alignment horizontal="left" vertical="center" wrapText="1" indent="1"/>
      <protection hidden="1"/>
    </xf>
    <xf numFmtId="0" fontId="11" fillId="3" borderId="31" xfId="2" applyFont="1" applyFill="1" applyBorder="1" applyAlignment="1" applyProtection="1">
      <alignment horizontal="left" vertical="center" wrapText="1" indent="1"/>
      <protection hidden="1"/>
    </xf>
    <xf numFmtId="0" fontId="14" fillId="20" borderId="10" xfId="0" applyFont="1" applyFill="1" applyBorder="1" applyAlignment="1" applyProtection="1">
      <alignment horizontal="left" vertical="center" wrapText="1" indent="1"/>
      <protection locked="0"/>
    </xf>
    <xf numFmtId="0" fontId="14" fillId="20" borderId="7" xfId="0" applyFont="1" applyFill="1" applyBorder="1" applyAlignment="1" applyProtection="1">
      <alignment horizontal="left" vertical="center" wrapText="1" indent="1"/>
      <protection locked="0"/>
    </xf>
    <xf numFmtId="0" fontId="14" fillId="20" borderId="8" xfId="0" applyFont="1" applyFill="1" applyBorder="1" applyAlignment="1" applyProtection="1">
      <alignment horizontal="left" vertical="center" wrapText="1" indent="1"/>
      <protection locked="0"/>
    </xf>
    <xf numFmtId="0" fontId="2" fillId="10" borderId="45" xfId="2" applyFont="1" applyFill="1" applyBorder="1" applyAlignment="1" applyProtection="1">
      <alignment horizontal="left" vertical="center" indent="6"/>
      <protection hidden="1"/>
    </xf>
    <xf numFmtId="0" fontId="2" fillId="10" borderId="46" xfId="2" applyFont="1" applyFill="1" applyBorder="1" applyAlignment="1" applyProtection="1">
      <alignment horizontal="left" vertical="center" indent="6"/>
      <protection hidden="1"/>
    </xf>
    <xf numFmtId="0" fontId="11" fillId="3" borderId="4" xfId="6" applyFont="1" applyFill="1" applyBorder="1" applyAlignment="1">
      <alignment horizontal="left" vertical="center" indent="1"/>
    </xf>
    <xf numFmtId="9" fontId="14" fillId="20" borderId="4" xfId="1" applyFont="1" applyFill="1" applyBorder="1" applyAlignment="1" applyProtection="1">
      <alignment horizontal="center"/>
      <protection locked="0"/>
    </xf>
    <xf numFmtId="0" fontId="2" fillId="22" borderId="35" xfId="2" applyFill="1" applyBorder="1" applyAlignment="1" applyProtection="1">
      <alignment horizontal="right" vertical="center" indent="1"/>
      <protection hidden="1"/>
    </xf>
    <xf numFmtId="0" fontId="2" fillId="22" borderId="20" xfId="2" applyFill="1" applyBorder="1" applyAlignment="1" applyProtection="1">
      <alignment horizontal="right" vertical="center" indent="1"/>
      <protection hidden="1"/>
    </xf>
    <xf numFmtId="0" fontId="11" fillId="3" borderId="10" xfId="6" applyFont="1" applyFill="1" applyBorder="1" applyAlignment="1">
      <alignment horizontal="center" vertical="center"/>
    </xf>
    <xf numFmtId="0" fontId="11" fillId="3" borderId="7" xfId="6" applyFont="1" applyFill="1" applyBorder="1" applyAlignment="1">
      <alignment horizontal="center" vertical="center"/>
    </xf>
    <xf numFmtId="9" fontId="14" fillId="20" borderId="28" xfId="1"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1" fillId="3" borderId="61" xfId="6" applyFont="1" applyFill="1" applyBorder="1" applyAlignment="1">
      <alignment horizontal="center"/>
    </xf>
    <xf numFmtId="0" fontId="11" fillId="3" borderId="62" xfId="6" applyFont="1" applyFill="1" applyBorder="1" applyAlignment="1">
      <alignment horizontal="center"/>
    </xf>
    <xf numFmtId="0" fontId="19" fillId="3" borderId="61" xfId="6" applyFont="1" applyFill="1" applyBorder="1" applyAlignment="1" applyProtection="1">
      <alignment horizontal="center" vertical="center"/>
      <protection hidden="1"/>
    </xf>
    <xf numFmtId="0" fontId="19" fillId="3" borderId="62" xfId="6" applyFont="1" applyFill="1" applyBorder="1" applyAlignment="1" applyProtection="1">
      <alignment horizontal="center" vertical="center"/>
      <protection hidden="1"/>
    </xf>
    <xf numFmtId="0" fontId="2" fillId="11" borderId="2" xfId="2" applyFont="1" applyFill="1" applyBorder="1" applyAlignment="1" applyProtection="1">
      <alignment horizontal="left" vertical="center" wrapText="1" indent="1"/>
      <protection hidden="1"/>
    </xf>
    <xf numFmtId="0" fontId="16" fillId="3" borderId="4" xfId="6" applyFont="1" applyFill="1" applyBorder="1" applyAlignment="1">
      <alignment horizontal="center" vertical="center"/>
    </xf>
    <xf numFmtId="9" fontId="14" fillId="20" borderId="4" xfId="1" applyFont="1" applyFill="1" applyBorder="1" applyAlignment="1" applyProtection="1">
      <alignment horizontal="center" vertical="center"/>
      <protection locked="0"/>
    </xf>
    <xf numFmtId="0" fontId="2" fillId="10" borderId="22" xfId="2" applyFill="1" applyBorder="1" applyAlignment="1" applyProtection="1">
      <alignment horizontal="left" vertical="center" wrapText="1" indent="8"/>
      <protection hidden="1"/>
    </xf>
    <xf numFmtId="0" fontId="2" fillId="10" borderId="23" xfId="2" applyFill="1" applyBorder="1" applyAlignment="1" applyProtection="1">
      <alignment horizontal="left" vertical="center" wrapText="1" indent="8"/>
      <protection hidden="1"/>
    </xf>
    <xf numFmtId="0" fontId="2" fillId="10" borderId="24" xfId="2" applyFill="1" applyBorder="1" applyAlignment="1" applyProtection="1">
      <alignment horizontal="left" vertical="center" wrapText="1" indent="8"/>
      <protection hidden="1"/>
    </xf>
    <xf numFmtId="0" fontId="2" fillId="10" borderId="36" xfId="2" applyFill="1" applyBorder="1" applyAlignment="1" applyProtection="1">
      <alignment horizontal="left" vertical="center" indent="6"/>
      <protection hidden="1"/>
    </xf>
    <xf numFmtId="0" fontId="2" fillId="10" borderId="37" xfId="2" applyFill="1" applyBorder="1" applyAlignment="1" applyProtection="1">
      <alignment horizontal="left" vertical="center" indent="6"/>
      <protection hidden="1"/>
    </xf>
    <xf numFmtId="0" fontId="2" fillId="10" borderId="38" xfId="2" applyFill="1" applyBorder="1" applyAlignment="1" applyProtection="1">
      <alignment horizontal="left" vertical="center" indent="6"/>
      <protection hidden="1"/>
    </xf>
    <xf numFmtId="0" fontId="20" fillId="23" borderId="0" xfId="0" applyFont="1" applyFill="1" applyBorder="1" applyAlignment="1" applyProtection="1">
      <alignment horizontal="left" vertical="center" wrapText="1" indent="5"/>
      <protection hidden="1"/>
    </xf>
    <xf numFmtId="0" fontId="2" fillId="10" borderId="43" xfId="2" applyFont="1" applyFill="1" applyBorder="1" applyAlignment="1" applyProtection="1">
      <alignment horizontal="left" vertical="center" indent="6"/>
      <protection hidden="1"/>
    </xf>
    <xf numFmtId="0" fontId="2" fillId="10" borderId="42" xfId="2" applyFont="1" applyFill="1" applyBorder="1" applyAlignment="1" applyProtection="1">
      <alignment horizontal="left" vertical="center" indent="6"/>
      <protection hidden="1"/>
    </xf>
    <xf numFmtId="0" fontId="2" fillId="10" borderId="44" xfId="2" applyFont="1" applyFill="1" applyBorder="1" applyAlignment="1" applyProtection="1">
      <alignment horizontal="left" vertical="center" indent="6"/>
      <protection hidden="1"/>
    </xf>
    <xf numFmtId="0" fontId="2" fillId="10" borderId="36" xfId="2" applyFont="1" applyFill="1" applyBorder="1" applyAlignment="1" applyProtection="1">
      <alignment horizontal="left" indent="5"/>
      <protection hidden="1"/>
    </xf>
    <xf numFmtId="0" fontId="2" fillId="10" borderId="37" xfId="2" applyFont="1" applyFill="1" applyBorder="1" applyAlignment="1" applyProtection="1">
      <alignment horizontal="left" indent="5"/>
      <protection hidden="1"/>
    </xf>
    <xf numFmtId="0" fontId="2" fillId="10" borderId="38" xfId="2" applyFont="1" applyFill="1" applyBorder="1" applyAlignment="1" applyProtection="1">
      <alignment horizontal="left" indent="5"/>
      <protection hidden="1"/>
    </xf>
    <xf numFmtId="0" fontId="2" fillId="10" borderId="39" xfId="2" applyFont="1" applyFill="1" applyBorder="1" applyAlignment="1" applyProtection="1">
      <alignment horizontal="left" indent="6"/>
      <protection hidden="1"/>
    </xf>
    <xf numFmtId="0" fontId="2" fillId="10" borderId="0" xfId="2" applyFont="1" applyFill="1" applyBorder="1" applyAlignment="1" applyProtection="1">
      <alignment horizontal="left" indent="6"/>
      <protection hidden="1"/>
    </xf>
    <xf numFmtId="0" fontId="2" fillId="10" borderId="40" xfId="2" applyFont="1" applyFill="1" applyBorder="1" applyAlignment="1" applyProtection="1">
      <alignment horizontal="left" indent="6"/>
      <protection hidden="1"/>
    </xf>
    <xf numFmtId="0" fontId="2" fillId="10" borderId="22" xfId="2" applyFont="1" applyFill="1" applyBorder="1" applyAlignment="1" applyProtection="1">
      <alignment horizontal="left" indent="6"/>
      <protection hidden="1"/>
    </xf>
    <xf numFmtId="0" fontId="2" fillId="10" borderId="23" xfId="2" applyFont="1" applyFill="1" applyBorder="1" applyAlignment="1" applyProtection="1">
      <alignment horizontal="left" indent="6"/>
      <protection hidden="1"/>
    </xf>
    <xf numFmtId="0" fontId="2" fillId="10" borderId="24" xfId="2" applyFont="1" applyFill="1" applyBorder="1" applyAlignment="1" applyProtection="1">
      <alignment horizontal="left" indent="6"/>
      <protection hidden="1"/>
    </xf>
    <xf numFmtId="0" fontId="2" fillId="10" borderId="47" xfId="2" applyFont="1" applyFill="1" applyBorder="1" applyAlignment="1" applyProtection="1">
      <alignment horizontal="left" vertical="center" indent="6"/>
      <protection hidden="1"/>
    </xf>
    <xf numFmtId="0" fontId="2" fillId="10" borderId="6" xfId="2" applyFont="1" applyFill="1" applyBorder="1" applyAlignment="1" applyProtection="1">
      <alignment horizontal="left" vertical="center" indent="6"/>
      <protection hidden="1"/>
    </xf>
    <xf numFmtId="0" fontId="2" fillId="10" borderId="48" xfId="2" applyFont="1" applyFill="1" applyBorder="1" applyAlignment="1" applyProtection="1">
      <alignment horizontal="left" vertical="center" indent="6"/>
      <protection hidden="1"/>
    </xf>
    <xf numFmtId="9" fontId="14" fillId="20" borderId="28" xfId="1" applyFont="1" applyFill="1" applyBorder="1" applyAlignment="1" applyProtection="1">
      <alignment horizontal="center"/>
      <protection locked="0"/>
    </xf>
    <xf numFmtId="0" fontId="8" fillId="20" borderId="2" xfId="2" applyFont="1" applyFill="1" applyBorder="1" applyAlignment="1" applyProtection="1">
      <alignment horizontal="center" vertical="center"/>
      <protection locked="0"/>
    </xf>
    <xf numFmtId="0" fontId="19" fillId="3" borderId="36" xfId="2" applyFont="1" applyFill="1" applyBorder="1" applyAlignment="1" applyProtection="1">
      <alignment horizontal="left" vertical="center" wrapText="1" indent="1"/>
      <protection hidden="1"/>
    </xf>
    <xf numFmtId="0" fontId="19" fillId="3" borderId="37" xfId="2" applyFont="1" applyFill="1" applyBorder="1" applyAlignment="1" applyProtection="1">
      <alignment horizontal="left" vertical="center" wrapText="1" indent="1"/>
      <protection hidden="1"/>
    </xf>
    <xf numFmtId="0" fontId="45" fillId="5" borderId="30" xfId="2" applyFont="1" applyFill="1" applyBorder="1" applyAlignment="1">
      <alignment horizontal="left" vertical="center" wrapText="1"/>
    </xf>
    <xf numFmtId="0" fontId="45" fillId="5" borderId="0" xfId="2" applyFont="1" applyFill="1" applyBorder="1" applyAlignment="1">
      <alignment horizontal="left" vertical="center" wrapText="1"/>
    </xf>
    <xf numFmtId="0" fontId="46" fillId="5" borderId="29" xfId="0" applyFont="1" applyFill="1" applyBorder="1" applyAlignment="1" applyProtection="1">
      <alignment horizontal="left" vertical="center" indent="1"/>
      <protection hidden="1"/>
    </xf>
    <xf numFmtId="0" fontId="46" fillId="5" borderId="31" xfId="0" applyFont="1" applyFill="1" applyBorder="1" applyAlignment="1" applyProtection="1">
      <alignment horizontal="left" vertical="center" indent="1"/>
      <protection hidden="1"/>
    </xf>
    <xf numFmtId="0" fontId="46" fillId="5" borderId="32" xfId="0" applyFont="1" applyFill="1" applyBorder="1" applyAlignment="1" applyProtection="1">
      <alignment horizontal="left" vertical="center" indent="1"/>
      <protection hidden="1"/>
    </xf>
    <xf numFmtId="0" fontId="46" fillId="5" borderId="33" xfId="0" applyFont="1" applyFill="1" applyBorder="1" applyAlignment="1" applyProtection="1">
      <alignment horizontal="left" vertical="center" indent="1"/>
      <protection hidden="1"/>
    </xf>
    <xf numFmtId="0" fontId="46" fillId="5" borderId="4" xfId="0" applyFont="1" applyFill="1" applyBorder="1" applyAlignment="1" applyProtection="1">
      <alignment horizontal="center" vertical="center" wrapText="1"/>
      <protection hidden="1"/>
    </xf>
    <xf numFmtId="0" fontId="108" fillId="10" borderId="10" xfId="3" applyFont="1" applyFill="1" applyBorder="1" applyAlignment="1">
      <alignment horizontal="left" vertical="center" indent="1"/>
    </xf>
    <xf numFmtId="0" fontId="108" fillId="10" borderId="8" xfId="3" applyFont="1" applyFill="1" applyBorder="1" applyAlignment="1">
      <alignment horizontal="left" vertical="center" indent="1"/>
    </xf>
    <xf numFmtId="0" fontId="5" fillId="5" borderId="0" xfId="2" applyFont="1" applyFill="1" applyBorder="1" applyAlignment="1">
      <alignment horizontal="left" vertical="top" wrapText="1"/>
    </xf>
    <xf numFmtId="0" fontId="5" fillId="5" borderId="10" xfId="0" applyFont="1" applyFill="1" applyBorder="1" applyAlignment="1" applyProtection="1">
      <alignment horizontal="left" vertical="center" indent="1"/>
      <protection hidden="1"/>
    </xf>
    <xf numFmtId="0" fontId="5" fillId="5" borderId="8" xfId="0" applyFont="1" applyFill="1" applyBorder="1" applyAlignment="1" applyProtection="1">
      <alignment horizontal="left" vertical="center" indent="1"/>
      <protection hidden="1"/>
    </xf>
    <xf numFmtId="0" fontId="14" fillId="20" borderId="4" xfId="0" applyFont="1" applyFill="1" applyBorder="1" applyAlignment="1" applyProtection="1">
      <alignment horizontal="left" vertical="center" wrapText="1" indent="1"/>
      <protection locked="0"/>
    </xf>
    <xf numFmtId="0" fontId="2" fillId="20" borderId="91" xfId="2" applyFont="1" applyFill="1" applyBorder="1" applyAlignment="1" applyProtection="1">
      <alignment horizontal="left" vertical="center" wrapText="1"/>
      <protection locked="0"/>
    </xf>
    <xf numFmtId="0" fontId="2" fillId="20" borderId="92" xfId="2" applyFont="1" applyFill="1" applyBorder="1" applyAlignment="1" applyProtection="1">
      <alignment horizontal="left" vertical="center" wrapText="1"/>
      <protection locked="0"/>
    </xf>
    <xf numFmtId="0" fontId="2" fillId="20" borderId="93" xfId="2" applyFont="1" applyFill="1" applyBorder="1" applyAlignment="1" applyProtection="1">
      <alignment horizontal="left" vertical="center" wrapText="1"/>
      <protection locked="0"/>
    </xf>
    <xf numFmtId="0" fontId="14" fillId="20" borderId="10" xfId="0" applyFont="1" applyFill="1" applyBorder="1" applyAlignment="1" applyProtection="1">
      <alignment vertical="center" wrapText="1"/>
      <protection locked="0"/>
    </xf>
    <xf numFmtId="0" fontId="14" fillId="20" borderId="7" xfId="0" applyFont="1" applyFill="1" applyBorder="1" applyAlignment="1" applyProtection="1">
      <alignment vertical="center" wrapText="1"/>
      <protection locked="0"/>
    </xf>
    <xf numFmtId="0" fontId="14" fillId="20" borderId="8" xfId="0" applyFont="1" applyFill="1" applyBorder="1" applyAlignment="1" applyProtection="1">
      <alignment vertical="center" wrapText="1"/>
      <protection locked="0"/>
    </xf>
    <xf numFmtId="0" fontId="13" fillId="5" borderId="10" xfId="0" applyFont="1" applyFill="1" applyBorder="1" applyAlignment="1" applyProtection="1">
      <alignment horizontal="left" vertical="center" indent="1"/>
      <protection hidden="1"/>
    </xf>
    <xf numFmtId="0" fontId="13" fillId="5" borderId="7" xfId="0" applyFont="1" applyFill="1" applyBorder="1" applyAlignment="1" applyProtection="1">
      <alignment horizontal="left" vertical="center" indent="1"/>
      <protection hidden="1"/>
    </xf>
    <xf numFmtId="0" fontId="2" fillId="4" borderId="51" xfId="2" applyFont="1" applyFill="1" applyBorder="1" applyAlignment="1" applyProtection="1">
      <alignment horizontal="left" vertical="center" wrapText="1" indent="1"/>
    </xf>
    <xf numFmtId="0" fontId="2" fillId="4" borderId="55" xfId="2" applyFont="1" applyFill="1" applyBorder="1" applyAlignment="1" applyProtection="1">
      <alignment horizontal="left" vertical="center" wrapText="1" indent="1"/>
    </xf>
    <xf numFmtId="0" fontId="2" fillId="4" borderId="52" xfId="2" applyFont="1" applyFill="1" applyBorder="1" applyAlignment="1" applyProtection="1">
      <alignment horizontal="left" vertical="center" wrapText="1" indent="1"/>
    </xf>
    <xf numFmtId="0" fontId="11" fillId="5" borderId="51" xfId="2" applyFont="1" applyFill="1" applyBorder="1" applyAlignment="1" applyProtection="1">
      <alignment horizontal="left" vertical="center" indent="1"/>
      <protection hidden="1"/>
    </xf>
    <xf numFmtId="0" fontId="11" fillId="5" borderId="55" xfId="2" applyFont="1" applyFill="1" applyBorder="1" applyAlignment="1" applyProtection="1">
      <alignment horizontal="left" vertical="center" indent="1"/>
      <protection hidden="1"/>
    </xf>
    <xf numFmtId="0" fontId="2" fillId="4" borderId="94" xfId="2" applyFont="1" applyFill="1" applyBorder="1" applyAlignment="1" applyProtection="1">
      <alignment horizontal="left" vertical="center" wrapText="1" indent="1"/>
    </xf>
    <xf numFmtId="0" fontId="2" fillId="4" borderId="95" xfId="2" applyFont="1" applyFill="1" applyBorder="1" applyAlignment="1" applyProtection="1">
      <alignment horizontal="left" vertical="center" wrapText="1" indent="1"/>
    </xf>
    <xf numFmtId="0" fontId="2" fillId="4" borderId="96" xfId="2" applyFont="1" applyFill="1" applyBorder="1" applyAlignment="1" applyProtection="1">
      <alignment horizontal="left" vertical="center" wrapText="1" indent="1"/>
    </xf>
    <xf numFmtId="0" fontId="35" fillId="5" borderId="0" xfId="0" applyFont="1" applyFill="1" applyBorder="1" applyAlignment="1" applyProtection="1">
      <alignment horizontal="left" vertical="center" indent="1"/>
      <protection hidden="1"/>
    </xf>
    <xf numFmtId="0" fontId="2" fillId="2" borderId="0" xfId="2" applyFill="1" applyBorder="1" applyAlignment="1" applyProtection="1">
      <alignment horizontal="left" wrapText="1"/>
      <protection hidden="1"/>
    </xf>
    <xf numFmtId="0" fontId="10" fillId="5" borderId="0" xfId="0" applyFont="1" applyFill="1" applyBorder="1" applyAlignment="1" applyProtection="1">
      <alignment horizontal="left" vertical="center" indent="1"/>
      <protection hidden="1"/>
    </xf>
    <xf numFmtId="0" fontId="11" fillId="5" borderId="10" xfId="0" applyFont="1" applyFill="1" applyBorder="1" applyAlignment="1" applyProtection="1">
      <alignment horizontal="left" vertical="center" wrapText="1" indent="1"/>
      <protection hidden="1"/>
    </xf>
    <xf numFmtId="0" fontId="11" fillId="5" borderId="7" xfId="0" applyFont="1" applyFill="1" applyBorder="1" applyAlignment="1" applyProtection="1">
      <alignment horizontal="left" vertical="center" wrapText="1" indent="1"/>
      <protection hidden="1"/>
    </xf>
    <xf numFmtId="0" fontId="16" fillId="5" borderId="41" xfId="0" applyFont="1" applyFill="1" applyBorder="1" applyAlignment="1" applyProtection="1">
      <alignment horizontal="center" vertical="center" wrapText="1"/>
      <protection hidden="1"/>
    </xf>
    <xf numFmtId="0" fontId="19" fillId="5" borderId="25" xfId="2" applyFont="1" applyFill="1" applyBorder="1" applyAlignment="1" applyProtection="1">
      <alignment horizontal="left" vertical="center" wrapText="1" indent="1"/>
      <protection hidden="1"/>
    </xf>
    <xf numFmtId="0" fontId="19" fillId="5" borderId="26" xfId="2" applyFont="1" applyFill="1" applyBorder="1" applyAlignment="1" applyProtection="1">
      <alignment horizontal="left" vertical="center" wrapText="1" indent="1"/>
      <protection hidden="1"/>
    </xf>
    <xf numFmtId="0" fontId="11" fillId="5" borderId="4" xfId="2" applyFont="1" applyFill="1" applyBorder="1" applyAlignment="1" applyProtection="1">
      <alignment horizontal="left" vertical="center"/>
      <protection hidden="1"/>
    </xf>
    <xf numFmtId="0" fontId="2" fillId="20" borderId="4" xfId="2" applyFill="1" applyBorder="1" applyAlignment="1" applyProtection="1">
      <alignment horizontal="left" vertical="center" wrapText="1" indent="1"/>
      <protection locked="0"/>
    </xf>
    <xf numFmtId="0" fontId="16" fillId="5" borderId="41" xfId="0" applyFont="1" applyFill="1" applyBorder="1" applyAlignment="1" applyProtection="1">
      <alignment horizontal="center" vertical="center"/>
      <protection hidden="1"/>
    </xf>
    <xf numFmtId="0" fontId="21" fillId="2" borderId="0" xfId="2" applyFont="1" applyFill="1" applyBorder="1" applyAlignment="1" applyProtection="1">
      <alignment horizontal="left" wrapText="1" indent="5"/>
      <protection hidden="1"/>
    </xf>
    <xf numFmtId="0" fontId="13" fillId="5" borderId="30" xfId="0" applyFont="1" applyFill="1" applyBorder="1" applyAlignment="1" applyProtection="1">
      <alignment horizontal="center" vertical="center"/>
      <protection hidden="1"/>
    </xf>
    <xf numFmtId="0" fontId="13" fillId="5" borderId="31" xfId="0" applyFont="1" applyFill="1" applyBorder="1" applyAlignment="1" applyProtection="1">
      <alignment horizontal="center" vertical="center"/>
      <protection hidden="1"/>
    </xf>
    <xf numFmtId="0" fontId="11" fillId="5" borderId="140" xfId="2" applyFont="1" applyFill="1" applyBorder="1" applyAlignment="1" applyProtection="1">
      <alignment horizontal="center" vertical="center"/>
      <protection hidden="1"/>
    </xf>
    <xf numFmtId="0" fontId="11" fillId="5" borderId="92" xfId="2" applyFont="1" applyFill="1" applyBorder="1" applyAlignment="1" applyProtection="1">
      <alignment horizontal="center" vertical="center"/>
      <protection hidden="1"/>
    </xf>
    <xf numFmtId="0" fontId="11" fillId="5" borderId="35" xfId="0" applyFont="1" applyFill="1" applyBorder="1" applyAlignment="1" applyProtection="1">
      <alignment horizontal="left" vertical="center" wrapText="1" indent="1"/>
      <protection hidden="1"/>
    </xf>
    <xf numFmtId="0" fontId="11" fillId="5" borderId="0" xfId="0" applyFont="1" applyFill="1" applyBorder="1" applyAlignment="1" applyProtection="1">
      <alignment horizontal="left" vertical="center" wrapText="1" indent="1"/>
      <protection hidden="1"/>
    </xf>
    <xf numFmtId="0" fontId="14" fillId="20" borderId="29" xfId="0" applyFont="1" applyFill="1" applyBorder="1" applyAlignment="1" applyProtection="1">
      <alignment horizontal="left" vertical="center" wrapText="1" indent="1"/>
      <protection locked="0"/>
    </xf>
    <xf numFmtId="0" fontId="14" fillId="20" borderId="30" xfId="0" applyFont="1" applyFill="1" applyBorder="1" applyAlignment="1" applyProtection="1">
      <alignment horizontal="left" vertical="center" wrapText="1" indent="1"/>
      <protection locked="0"/>
    </xf>
    <xf numFmtId="0" fontId="2" fillId="20" borderId="10" xfId="2" applyFont="1" applyFill="1" applyBorder="1" applyAlignment="1" applyProtection="1">
      <alignment horizontal="left" vertical="center" wrapText="1" indent="1"/>
      <protection locked="0"/>
    </xf>
    <xf numFmtId="0" fontId="2" fillId="20" borderId="7" xfId="2" applyFont="1" applyFill="1" applyBorder="1" applyAlignment="1" applyProtection="1">
      <alignment horizontal="left" vertical="center" wrapText="1" indent="1"/>
      <protection locked="0"/>
    </xf>
    <xf numFmtId="0" fontId="2" fillId="20" borderId="8" xfId="2" applyFont="1" applyFill="1" applyBorder="1" applyAlignment="1" applyProtection="1">
      <alignment horizontal="left" vertical="center" wrapText="1" indent="1"/>
      <protection locked="0"/>
    </xf>
    <xf numFmtId="0" fontId="11" fillId="5" borderId="7" xfId="2" applyFont="1" applyFill="1" applyBorder="1" applyAlignment="1" applyProtection="1">
      <alignment horizontal="left" vertical="center" indent="1"/>
      <protection hidden="1"/>
    </xf>
    <xf numFmtId="0" fontId="11" fillId="5" borderId="8" xfId="2" applyFont="1" applyFill="1" applyBorder="1" applyAlignment="1" applyProtection="1">
      <alignment horizontal="left" vertical="center" indent="1"/>
      <protection hidden="1"/>
    </xf>
    <xf numFmtId="0" fontId="2" fillId="10" borderId="35" xfId="2" applyFont="1" applyFill="1" applyBorder="1" applyAlignment="1" applyProtection="1">
      <alignment horizontal="left" vertical="center" wrapText="1" indent="1"/>
    </xf>
    <xf numFmtId="0" fontId="2" fillId="10" borderId="0" xfId="2" applyFont="1" applyFill="1" applyBorder="1" applyAlignment="1" applyProtection="1">
      <alignment horizontal="left" vertical="center" wrapText="1" indent="1"/>
    </xf>
    <xf numFmtId="0" fontId="13" fillId="5" borderId="8" xfId="0" applyFont="1" applyFill="1" applyBorder="1" applyAlignment="1" applyProtection="1">
      <alignment horizontal="left" vertical="center" indent="1"/>
      <protection hidden="1"/>
    </xf>
    <xf numFmtId="0" fontId="2" fillId="10" borderId="43" xfId="2" applyFill="1" applyBorder="1" applyAlignment="1" applyProtection="1">
      <alignment horizontal="left" vertical="center" wrapText="1" indent="7"/>
      <protection hidden="1"/>
    </xf>
    <xf numFmtId="0" fontId="2" fillId="10" borderId="42" xfId="2" applyFill="1" applyBorder="1" applyAlignment="1" applyProtection="1">
      <alignment horizontal="left" vertical="center" wrapText="1" indent="7"/>
      <protection hidden="1"/>
    </xf>
    <xf numFmtId="0" fontId="2" fillId="10" borderId="44" xfId="2" applyFill="1" applyBorder="1" applyAlignment="1" applyProtection="1">
      <alignment horizontal="left" vertical="center" wrapText="1" indent="7"/>
      <protection hidden="1"/>
    </xf>
    <xf numFmtId="0" fontId="2" fillId="10" borderId="45" xfId="2" applyFill="1" applyBorder="1" applyAlignment="1" applyProtection="1">
      <alignment horizontal="left" vertical="center" wrapText="1" indent="7"/>
      <protection hidden="1"/>
    </xf>
    <xf numFmtId="0" fontId="2" fillId="10" borderId="46" xfId="2" applyFill="1" applyBorder="1" applyAlignment="1" applyProtection="1">
      <alignment horizontal="left" vertical="center" wrapText="1" indent="7"/>
      <protection hidden="1"/>
    </xf>
    <xf numFmtId="0" fontId="2" fillId="10" borderId="47" xfId="2" applyFill="1" applyBorder="1" applyAlignment="1" applyProtection="1">
      <alignment horizontal="left" vertical="center" wrapText="1" indent="7"/>
      <protection hidden="1"/>
    </xf>
    <xf numFmtId="0" fontId="2" fillId="10" borderId="6" xfId="2" applyFill="1" applyBorder="1" applyAlignment="1" applyProtection="1">
      <alignment horizontal="left" vertical="center" wrapText="1" indent="7"/>
      <protection hidden="1"/>
    </xf>
    <xf numFmtId="0" fontId="2" fillId="10" borderId="48" xfId="2" applyFill="1" applyBorder="1" applyAlignment="1" applyProtection="1">
      <alignment horizontal="left" vertical="center" wrapText="1" indent="7"/>
      <protection hidden="1"/>
    </xf>
    <xf numFmtId="0" fontId="2" fillId="9" borderId="10" xfId="0" applyFont="1" applyFill="1" applyBorder="1" applyAlignment="1" applyProtection="1">
      <alignment horizontal="left" vertical="center" indent="1"/>
      <protection hidden="1"/>
    </xf>
    <xf numFmtId="0" fontId="2" fillId="9" borderId="7" xfId="0" applyFont="1" applyFill="1" applyBorder="1" applyAlignment="1" applyProtection="1">
      <alignment horizontal="left" vertical="center" indent="1"/>
      <protection hidden="1"/>
    </xf>
    <xf numFmtId="0" fontId="65" fillId="2" borderId="0" xfId="0" applyFont="1" applyFill="1" applyAlignment="1">
      <alignment horizontal="left" vertical="center" wrapText="1" indent="4"/>
    </xf>
    <xf numFmtId="0" fontId="4" fillId="5" borderId="0" xfId="2" applyFont="1" applyFill="1" applyAlignment="1" applyProtection="1">
      <alignment horizontal="left" vertical="center" indent="1"/>
      <protection hidden="1"/>
    </xf>
    <xf numFmtId="0" fontId="2" fillId="2" borderId="0" xfId="2" applyFont="1" applyFill="1" applyBorder="1" applyAlignment="1" applyProtection="1">
      <alignment horizontal="left" vertical="center" wrapText="1" indent="5"/>
      <protection hidden="1"/>
    </xf>
    <xf numFmtId="0" fontId="2" fillId="10" borderId="22" xfId="2" applyFill="1" applyBorder="1" applyAlignment="1" applyProtection="1">
      <alignment horizontal="left" vertical="center" wrapText="1" indent="7"/>
      <protection hidden="1"/>
    </xf>
    <xf numFmtId="0" fontId="2" fillId="10" borderId="23" xfId="2" applyFill="1" applyBorder="1" applyAlignment="1" applyProtection="1">
      <alignment horizontal="left" vertical="center" wrapText="1" indent="7"/>
      <protection hidden="1"/>
    </xf>
    <xf numFmtId="0" fontId="2" fillId="10" borderId="24" xfId="2" applyFill="1" applyBorder="1" applyAlignment="1" applyProtection="1">
      <alignment horizontal="left" vertical="center" wrapText="1" indent="7"/>
      <protection hidden="1"/>
    </xf>
    <xf numFmtId="0" fontId="2" fillId="10" borderId="36" xfId="2" applyFill="1" applyBorder="1" applyAlignment="1" applyProtection="1">
      <alignment horizontal="left" vertical="center" indent="7"/>
      <protection hidden="1"/>
    </xf>
    <xf numFmtId="0" fontId="2" fillId="10" borderId="37" xfId="2" applyFill="1" applyBorder="1" applyAlignment="1" applyProtection="1">
      <alignment horizontal="left" vertical="center" indent="7"/>
      <protection hidden="1"/>
    </xf>
    <xf numFmtId="0" fontId="2" fillId="10" borderId="38" xfId="2" applyFill="1" applyBorder="1" applyAlignment="1" applyProtection="1">
      <alignment horizontal="left" vertical="center" indent="7"/>
      <protection hidden="1"/>
    </xf>
    <xf numFmtId="0" fontId="2" fillId="10" borderId="22" xfId="2" applyFill="1" applyBorder="1" applyAlignment="1" applyProtection="1">
      <alignment horizontal="left" vertical="center" indent="7"/>
      <protection hidden="1"/>
    </xf>
    <xf numFmtId="0" fontId="2" fillId="10" borderId="23" xfId="2" applyFill="1" applyBorder="1" applyAlignment="1" applyProtection="1">
      <alignment horizontal="left" vertical="center" indent="7"/>
      <protection hidden="1"/>
    </xf>
    <xf numFmtId="0" fontId="2" fillId="10" borderId="24" xfId="2" applyFill="1" applyBorder="1" applyAlignment="1" applyProtection="1">
      <alignment horizontal="left" vertical="center" indent="7"/>
      <protection hidden="1"/>
    </xf>
    <xf numFmtId="0" fontId="2" fillId="10" borderId="36" xfId="2" applyFill="1" applyBorder="1" applyAlignment="1" applyProtection="1">
      <alignment horizontal="left" vertical="center" wrapText="1" indent="7"/>
      <protection hidden="1"/>
    </xf>
    <xf numFmtId="0" fontId="2" fillId="10" borderId="37" xfId="2" applyFill="1" applyBorder="1" applyAlignment="1" applyProtection="1">
      <alignment horizontal="left" vertical="center" wrapText="1" indent="7"/>
      <protection hidden="1"/>
    </xf>
    <xf numFmtId="0" fontId="2" fillId="10" borderId="38" xfId="2" applyFill="1" applyBorder="1" applyAlignment="1" applyProtection="1">
      <alignment horizontal="left" vertical="center" wrapText="1" indent="7"/>
      <protection hidden="1"/>
    </xf>
    <xf numFmtId="0" fontId="65" fillId="2" borderId="0" xfId="0" applyFont="1" applyFill="1" applyAlignment="1">
      <alignment horizontal="left" vertical="center" wrapText="1" indent="5"/>
    </xf>
    <xf numFmtId="0" fontId="14" fillId="20" borderId="35" xfId="0" applyFont="1" applyFill="1" applyBorder="1" applyAlignment="1" applyProtection="1">
      <alignment horizontal="left" vertical="center" wrapText="1" indent="1"/>
      <protection locked="0"/>
    </xf>
    <xf numFmtId="0" fontId="14" fillId="20" borderId="0" xfId="0" applyFont="1" applyFill="1" applyBorder="1" applyAlignment="1" applyProtection="1">
      <alignment horizontal="left" vertical="center" wrapText="1" indent="1"/>
      <protection locked="0"/>
    </xf>
    <xf numFmtId="0" fontId="16" fillId="5" borderId="51" xfId="0" applyFont="1" applyFill="1" applyBorder="1" applyAlignment="1" applyProtection="1">
      <alignment horizontal="center" vertical="center"/>
      <protection hidden="1"/>
    </xf>
    <xf numFmtId="0" fontId="16" fillId="5" borderId="52" xfId="0" applyFont="1" applyFill="1" applyBorder="1" applyAlignment="1" applyProtection="1">
      <alignment horizontal="center" vertical="center"/>
      <protection hidden="1"/>
    </xf>
    <xf numFmtId="0" fontId="11" fillId="5" borderId="8" xfId="0" applyFont="1" applyFill="1" applyBorder="1" applyAlignment="1" applyProtection="1">
      <alignment horizontal="left" vertical="center" wrapText="1" indent="1"/>
      <protection hidden="1"/>
    </xf>
    <xf numFmtId="0" fontId="14" fillId="20" borderId="10" xfId="0" applyFont="1" applyFill="1" applyBorder="1" applyAlignment="1" applyProtection="1">
      <alignment horizontal="left" vertical="top" wrapText="1"/>
      <protection locked="0"/>
    </xf>
    <xf numFmtId="0" fontId="14" fillId="20" borderId="7" xfId="0" applyFont="1" applyFill="1" applyBorder="1" applyAlignment="1" applyProtection="1">
      <alignment horizontal="left" vertical="top" wrapText="1"/>
      <protection locked="0"/>
    </xf>
    <xf numFmtId="0" fontId="14" fillId="20" borderId="8" xfId="0" applyFont="1" applyFill="1" applyBorder="1" applyAlignment="1" applyProtection="1">
      <alignment horizontal="left" vertical="top" wrapText="1"/>
      <protection locked="0"/>
    </xf>
    <xf numFmtId="0" fontId="14" fillId="20" borderId="29" xfId="0" applyFont="1" applyFill="1" applyBorder="1" applyAlignment="1" applyProtection="1">
      <alignment horizontal="left" vertical="center" wrapText="1"/>
      <protection locked="0"/>
    </xf>
    <xf numFmtId="0" fontId="14" fillId="20" borderId="31" xfId="0" applyFont="1" applyFill="1" applyBorder="1" applyAlignment="1" applyProtection="1">
      <alignment horizontal="left" vertical="center" wrapText="1"/>
      <protection locked="0"/>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2" fillId="10" borderId="39" xfId="2" applyFill="1" applyBorder="1" applyAlignment="1" applyProtection="1">
      <alignment horizontal="left" wrapText="1" indent="7"/>
      <protection hidden="1"/>
    </xf>
    <xf numFmtId="0" fontId="2" fillId="10" borderId="0" xfId="2" applyFill="1" applyBorder="1" applyAlignment="1" applyProtection="1">
      <alignment horizontal="left" wrapText="1" indent="7"/>
      <protection hidden="1"/>
    </xf>
    <xf numFmtId="0" fontId="2" fillId="10" borderId="40" xfId="2" applyFill="1" applyBorder="1" applyAlignment="1" applyProtection="1">
      <alignment horizontal="left" wrapText="1" indent="7"/>
      <protection hidden="1"/>
    </xf>
    <xf numFmtId="0" fontId="5" fillId="7" borderId="32"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0" fillId="10" borderId="34" xfId="0" applyFont="1" applyFill="1" applyBorder="1" applyAlignment="1" applyProtection="1">
      <alignment horizontal="center" vertical="center"/>
      <protection hidden="1"/>
    </xf>
    <xf numFmtId="0" fontId="50" fillId="10" borderId="28" xfId="0" applyFont="1" applyFill="1" applyBorder="1" applyAlignment="1" applyProtection="1">
      <alignment horizontal="center" vertical="center"/>
      <protection hidden="1"/>
    </xf>
    <xf numFmtId="0" fontId="45" fillId="7" borderId="30" xfId="2" applyFont="1" applyFill="1" applyBorder="1" applyAlignment="1">
      <alignment horizontal="left" vertical="center" wrapText="1"/>
    </xf>
    <xf numFmtId="0" fontId="45" fillId="7" borderId="0" xfId="2" applyFont="1" applyFill="1" applyBorder="1" applyAlignment="1">
      <alignment horizontal="left" vertical="center" wrapText="1"/>
    </xf>
    <xf numFmtId="0" fontId="5" fillId="7" borderId="0" xfId="2" applyFont="1" applyFill="1" applyBorder="1" applyAlignment="1">
      <alignment horizontal="left" vertical="top" wrapText="1"/>
    </xf>
    <xf numFmtId="0" fontId="46" fillId="7" borderId="4" xfId="0" applyFont="1" applyFill="1" applyBorder="1" applyAlignment="1" applyProtection="1">
      <alignment horizontal="left" vertical="center" indent="1"/>
      <protection hidden="1"/>
    </xf>
    <xf numFmtId="0" fontId="46" fillId="7" borderId="4" xfId="0" applyFont="1" applyFill="1" applyBorder="1" applyAlignment="1" applyProtection="1">
      <alignment horizontal="center" vertical="center" wrapText="1"/>
      <protection hidden="1"/>
    </xf>
    <xf numFmtId="0" fontId="168" fillId="10" borderId="10" xfId="3" applyFont="1" applyFill="1" applyBorder="1" applyAlignment="1">
      <alignment horizontal="left" vertical="center" indent="1"/>
    </xf>
    <xf numFmtId="0" fontId="168" fillId="10" borderId="8" xfId="3" applyFont="1" applyFill="1" applyBorder="1" applyAlignment="1">
      <alignment horizontal="left" vertical="center" indent="1"/>
    </xf>
    <xf numFmtId="0" fontId="11" fillId="7" borderId="5" xfId="0" applyFont="1" applyFill="1" applyBorder="1" applyAlignment="1" applyProtection="1">
      <alignment horizontal="left" vertical="center" wrapText="1" indent="1"/>
      <protection hidden="1"/>
    </xf>
    <xf numFmtId="0" fontId="2" fillId="20" borderId="5" xfId="0" applyFont="1" applyFill="1" applyBorder="1" applyAlignment="1" applyProtection="1">
      <alignment horizontal="left" vertical="center" wrapText="1" indent="1"/>
      <protection locked="0"/>
    </xf>
    <xf numFmtId="0" fontId="11" fillId="7" borderId="5" xfId="0" applyFont="1" applyFill="1" applyBorder="1" applyAlignment="1" applyProtection="1">
      <alignment horizontal="center" vertical="center" wrapText="1"/>
      <protection hidden="1"/>
    </xf>
    <xf numFmtId="0" fontId="2" fillId="20" borderId="5"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left" vertical="center" indent="1"/>
      <protection hidden="1"/>
    </xf>
    <xf numFmtId="0" fontId="10" fillId="7" borderId="0" xfId="0" applyFont="1" applyFill="1" applyBorder="1" applyAlignment="1" applyProtection="1">
      <alignment horizontal="left" vertical="center" indent="1"/>
      <protection hidden="1"/>
    </xf>
    <xf numFmtId="0" fontId="21" fillId="2" borderId="0" xfId="0" applyFont="1" applyFill="1" applyBorder="1" applyAlignment="1" applyProtection="1">
      <alignment horizontal="left" vertical="center" wrapText="1"/>
      <protection hidden="1"/>
    </xf>
    <xf numFmtId="0" fontId="19" fillId="7" borderId="25" xfId="2" applyFont="1" applyFill="1" applyBorder="1" applyAlignment="1" applyProtection="1">
      <alignment horizontal="left" vertical="center" wrapText="1" indent="1"/>
      <protection hidden="1"/>
    </xf>
    <xf numFmtId="0" fontId="19" fillId="7" borderId="26" xfId="2" applyFont="1" applyFill="1" applyBorder="1" applyAlignment="1" applyProtection="1">
      <alignment horizontal="left" vertical="center" wrapText="1" indent="1"/>
      <protection hidden="1"/>
    </xf>
    <xf numFmtId="0" fontId="101" fillId="2" borderId="0" xfId="3" applyFont="1" applyFill="1" applyAlignment="1" applyProtection="1">
      <alignment horizontal="center" vertical="center" wrapText="1"/>
      <protection hidden="1"/>
    </xf>
    <xf numFmtId="0" fontId="101" fillId="2" borderId="23" xfId="3" applyFont="1" applyFill="1" applyBorder="1" applyAlignment="1" applyProtection="1">
      <alignment horizontal="center" vertical="center" wrapText="1"/>
      <protection hidden="1"/>
    </xf>
    <xf numFmtId="0" fontId="19" fillId="7" borderId="36" xfId="2" applyFont="1" applyFill="1" applyBorder="1" applyAlignment="1" applyProtection="1">
      <alignment horizontal="left" vertical="center" wrapText="1" indent="1"/>
      <protection hidden="1"/>
    </xf>
    <xf numFmtId="0" fontId="19" fillId="7" borderId="37" xfId="2" applyFont="1" applyFill="1" applyBorder="1" applyAlignment="1" applyProtection="1">
      <alignment horizontal="left" vertical="center" wrapText="1" indent="1"/>
      <protection hidden="1"/>
    </xf>
    <xf numFmtId="0" fontId="101" fillId="2" borderId="0" xfId="3" applyFont="1" applyFill="1" applyBorder="1" applyAlignment="1" applyProtection="1">
      <alignment horizontal="center" vertical="center" wrapText="1"/>
      <protection hidden="1"/>
    </xf>
    <xf numFmtId="0" fontId="2" fillId="20" borderId="78" xfId="0" applyFont="1" applyFill="1" applyBorder="1" applyAlignment="1" applyProtection="1">
      <alignment horizontal="left" vertical="center" wrapText="1" indent="1"/>
      <protection locked="0"/>
    </xf>
    <xf numFmtId="0" fontId="2" fillId="20" borderId="79" xfId="0" applyFont="1" applyFill="1" applyBorder="1" applyAlignment="1" applyProtection="1">
      <alignment horizontal="left" vertical="center" wrapText="1" indent="1"/>
      <protection locked="0"/>
    </xf>
    <xf numFmtId="0" fontId="2" fillId="20" borderId="83" xfId="0" applyFont="1" applyFill="1" applyBorder="1" applyAlignment="1" applyProtection="1">
      <alignment horizontal="left" vertical="center" wrapText="1" indent="1"/>
      <protection locked="0"/>
    </xf>
    <xf numFmtId="0" fontId="13" fillId="7" borderId="10" xfId="0" applyFont="1" applyFill="1" applyBorder="1" applyAlignment="1" applyProtection="1">
      <alignment horizontal="left" vertical="center" indent="1"/>
      <protection hidden="1"/>
    </xf>
    <xf numFmtId="0" fontId="13" fillId="7" borderId="7" xfId="0" applyFont="1" applyFill="1" applyBorder="1" applyAlignment="1" applyProtection="1">
      <alignment horizontal="left" vertical="center" indent="1"/>
      <protection hidden="1"/>
    </xf>
    <xf numFmtId="0" fontId="13" fillId="7" borderId="30" xfId="0" applyFont="1" applyFill="1" applyBorder="1" applyAlignment="1" applyProtection="1">
      <alignment horizontal="center" vertical="center"/>
      <protection hidden="1"/>
    </xf>
    <xf numFmtId="0" fontId="13" fillId="7" borderId="31" xfId="0" applyFont="1" applyFill="1" applyBorder="1" applyAlignment="1" applyProtection="1">
      <alignment horizontal="center" vertical="center"/>
      <protection hidden="1"/>
    </xf>
    <xf numFmtId="0" fontId="36" fillId="25" borderId="14" xfId="0" applyFont="1" applyFill="1" applyBorder="1" applyAlignment="1" applyProtection="1">
      <alignment horizontal="left" vertical="center"/>
      <protection hidden="1"/>
    </xf>
    <xf numFmtId="0" fontId="36" fillId="25" borderId="14" xfId="0" applyFont="1" applyFill="1" applyBorder="1" applyAlignment="1" applyProtection="1">
      <alignment horizontal="left" vertical="center" indent="1"/>
      <protection hidden="1"/>
    </xf>
    <xf numFmtId="0" fontId="36" fillId="25" borderId="58" xfId="0" applyFont="1" applyFill="1" applyBorder="1" applyAlignment="1" applyProtection="1">
      <alignment horizontal="left" vertical="center" indent="1"/>
      <protection hidden="1"/>
    </xf>
    <xf numFmtId="0" fontId="195" fillId="10" borderId="14" xfId="3" applyFont="1" applyFill="1" applyBorder="1" applyAlignment="1" applyProtection="1">
      <alignment horizontal="left" vertical="center"/>
      <protection hidden="1"/>
    </xf>
    <xf numFmtId="0" fontId="195" fillId="10" borderId="58" xfId="3" applyFont="1" applyFill="1" applyBorder="1" applyAlignment="1" applyProtection="1">
      <alignment horizontal="left" vertical="center"/>
      <protection hidden="1"/>
    </xf>
    <xf numFmtId="0" fontId="2" fillId="27" borderId="11" xfId="0" applyFont="1" applyFill="1" applyBorder="1" applyAlignment="1" applyProtection="1">
      <alignment horizontal="left" vertical="center" wrapText="1" indent="1"/>
      <protection locked="0"/>
    </xf>
    <xf numFmtId="0" fontId="2" fillId="27" borderId="12" xfId="0" applyFont="1" applyFill="1" applyBorder="1" applyAlignment="1" applyProtection="1">
      <alignment horizontal="left" vertical="center" indent="1"/>
      <protection locked="0"/>
    </xf>
    <xf numFmtId="0" fontId="2" fillId="27" borderId="13" xfId="0" applyFont="1" applyFill="1" applyBorder="1" applyAlignment="1" applyProtection="1">
      <alignment horizontal="left" vertical="center" indent="1"/>
      <protection locked="0"/>
    </xf>
    <xf numFmtId="0" fontId="195" fillId="10" borderId="12" xfId="3" applyFont="1" applyFill="1" applyBorder="1" applyAlignment="1" applyProtection="1">
      <alignment horizontal="left" vertical="center"/>
      <protection hidden="1"/>
    </xf>
    <xf numFmtId="0" fontId="195" fillId="10" borderId="13" xfId="3" applyFont="1" applyFill="1" applyBorder="1" applyAlignment="1" applyProtection="1">
      <alignment horizontal="left" vertical="center"/>
      <protection hidden="1"/>
    </xf>
    <xf numFmtId="0" fontId="2" fillId="27" borderId="59" xfId="0" applyFont="1" applyFill="1" applyBorder="1" applyAlignment="1" applyProtection="1">
      <alignment horizontal="left" vertical="center" indent="1"/>
      <protection locked="0"/>
    </xf>
    <xf numFmtId="0" fontId="2" fillId="27" borderId="14" xfId="0" applyFont="1" applyFill="1" applyBorder="1" applyAlignment="1" applyProtection="1">
      <alignment horizontal="left" vertical="center" indent="1"/>
      <protection locked="0"/>
    </xf>
    <xf numFmtId="0" fontId="2" fillId="27" borderId="58" xfId="0" applyFont="1" applyFill="1" applyBorder="1" applyAlignment="1" applyProtection="1">
      <alignment horizontal="left" vertical="center" indent="1"/>
      <protection locked="0"/>
    </xf>
    <xf numFmtId="0" fontId="2" fillId="27" borderId="11" xfId="0" applyFont="1" applyFill="1" applyBorder="1" applyAlignment="1" applyProtection="1">
      <alignment horizontal="left" vertical="center" indent="1"/>
      <protection locked="0"/>
    </xf>
    <xf numFmtId="0" fontId="195" fillId="10" borderId="11" xfId="3" applyFont="1" applyFill="1" applyBorder="1" applyAlignment="1" applyProtection="1">
      <alignment horizontal="left" vertical="center"/>
      <protection hidden="1"/>
    </xf>
    <xf numFmtId="0" fontId="77" fillId="5" borderId="23" xfId="0" applyFont="1" applyFill="1" applyBorder="1" applyAlignment="1" applyProtection="1">
      <alignment horizontal="left" vertical="center" indent="1"/>
      <protection hidden="1"/>
    </xf>
    <xf numFmtId="0" fontId="155" fillId="10" borderId="0" xfId="0" applyFont="1" applyFill="1" applyAlignment="1" applyProtection="1">
      <alignment horizontal="left" vertical="center" wrapText="1" indent="3"/>
      <protection hidden="1"/>
    </xf>
    <xf numFmtId="0" fontId="195" fillId="10" borderId="21" xfId="3" applyFont="1" applyFill="1" applyBorder="1" applyAlignment="1" applyProtection="1">
      <alignment horizontal="left" vertical="center"/>
      <protection hidden="1"/>
    </xf>
    <xf numFmtId="0" fontId="195" fillId="10" borderId="98" xfId="3" applyFont="1" applyFill="1" applyBorder="1" applyAlignment="1" applyProtection="1">
      <alignment horizontal="left" vertical="center"/>
      <protection hidden="1"/>
    </xf>
    <xf numFmtId="0" fontId="15" fillId="5" borderId="37" xfId="0" applyFont="1" applyFill="1" applyBorder="1" applyAlignment="1" applyProtection="1">
      <alignment horizontal="left" vertical="center" indent="1"/>
      <protection hidden="1"/>
    </xf>
    <xf numFmtId="0" fontId="2" fillId="11" borderId="0" xfId="2" applyFont="1" applyFill="1" applyBorder="1" applyAlignment="1">
      <alignment horizontal="left" vertical="center"/>
    </xf>
    <xf numFmtId="0" fontId="99" fillId="0" borderId="0" xfId="0" applyFont="1" applyAlignment="1">
      <alignment horizontal="left" vertical="center" wrapText="1"/>
    </xf>
    <xf numFmtId="0" fontId="182" fillId="10" borderId="0" xfId="3" applyFont="1" applyFill="1" applyAlignment="1" applyProtection="1">
      <alignment horizontal="center" vertical="center"/>
      <protection hidden="1"/>
    </xf>
    <xf numFmtId="0" fontId="15" fillId="5" borderId="0" xfId="0" applyFont="1" applyFill="1" applyBorder="1" applyAlignment="1" applyProtection="1">
      <alignment horizontal="left" vertical="center" indent="1"/>
      <protection hidden="1"/>
    </xf>
    <xf numFmtId="0" fontId="21" fillId="11" borderId="0" xfId="2" applyFont="1" applyFill="1" applyBorder="1" applyAlignment="1">
      <alignment horizontal="left" vertical="center" wrapText="1"/>
    </xf>
    <xf numFmtId="0" fontId="75" fillId="10" borderId="29" xfId="0" applyFont="1" applyFill="1" applyBorder="1" applyAlignment="1">
      <alignment horizontal="center" vertical="center"/>
    </xf>
    <xf numFmtId="0" fontId="75" fillId="10" borderId="31" xfId="0" applyFont="1" applyFill="1" applyBorder="1" applyAlignment="1">
      <alignment horizontal="center" vertical="center"/>
    </xf>
    <xf numFmtId="0" fontId="75" fillId="10" borderId="35" xfId="0" applyFont="1" applyFill="1" applyBorder="1" applyAlignment="1">
      <alignment horizontal="center" vertical="center"/>
    </xf>
    <xf numFmtId="0" fontId="75" fillId="10" borderId="20" xfId="0" applyFont="1" applyFill="1" applyBorder="1" applyAlignment="1">
      <alignment horizontal="center" vertical="center"/>
    </xf>
    <xf numFmtId="0" fontId="75" fillId="15" borderId="4" xfId="0" applyFont="1" applyFill="1" applyBorder="1" applyAlignment="1">
      <alignment horizontal="left" vertical="center"/>
    </xf>
    <xf numFmtId="0" fontId="75" fillId="15" borderId="4" xfId="0" applyFont="1" applyFill="1" applyBorder="1" applyAlignment="1">
      <alignment horizontal="center" vertical="center"/>
    </xf>
    <xf numFmtId="0" fontId="75" fillId="10" borderId="32" xfId="0" applyFont="1" applyFill="1" applyBorder="1" applyAlignment="1">
      <alignment horizontal="center" vertical="center"/>
    </xf>
    <xf numFmtId="0" fontId="75" fillId="10" borderId="33" xfId="0" applyFont="1" applyFill="1" applyBorder="1" applyAlignment="1">
      <alignment horizontal="center" vertical="center"/>
    </xf>
    <xf numFmtId="0" fontId="188" fillId="11" borderId="0" xfId="0" applyFont="1" applyFill="1" applyAlignment="1">
      <alignment horizontal="center" vertical="center"/>
    </xf>
    <xf numFmtId="0" fontId="162" fillId="11" borderId="0" xfId="0" applyFont="1" applyFill="1" applyAlignment="1">
      <alignment horizontal="center" vertical="center"/>
    </xf>
    <xf numFmtId="0" fontId="44" fillId="6" borderId="75"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44" fillId="6" borderId="0" xfId="0" applyFont="1" applyFill="1" applyBorder="1" applyAlignment="1">
      <alignment horizontal="left" vertical="center" wrapText="1"/>
    </xf>
    <xf numFmtId="0" fontId="44" fillId="6" borderId="0" xfId="0" applyFont="1" applyFill="1" applyBorder="1" applyAlignment="1">
      <alignment horizontal="center" vertical="center"/>
    </xf>
    <xf numFmtId="0" fontId="44" fillId="6" borderId="4" xfId="0" applyFont="1" applyFill="1" applyBorder="1" applyAlignment="1">
      <alignment horizontal="center" vertical="center" wrapText="1"/>
    </xf>
    <xf numFmtId="0" fontId="15" fillId="3" borderId="0" xfId="0" applyFont="1" applyFill="1" applyBorder="1" applyAlignment="1" applyProtection="1">
      <alignment horizontal="left" vertical="center" indent="1"/>
      <protection hidden="1"/>
    </xf>
    <xf numFmtId="0" fontId="20" fillId="11" borderId="0" xfId="2" applyFont="1" applyFill="1" applyBorder="1" applyAlignment="1">
      <alignment horizontal="center" vertical="center" wrapText="1"/>
    </xf>
    <xf numFmtId="0" fontId="44" fillId="6" borderId="41" xfId="0" applyFont="1" applyFill="1" applyBorder="1" applyAlignment="1">
      <alignment horizontal="center" vertical="center" wrapText="1"/>
    </xf>
    <xf numFmtId="0" fontId="75" fillId="15" borderId="41" xfId="0" applyFont="1" applyFill="1" applyBorder="1" applyAlignment="1">
      <alignment horizontal="center" vertical="center" wrapText="1"/>
    </xf>
    <xf numFmtId="0" fontId="2" fillId="11" borderId="50" xfId="2" applyFont="1" applyFill="1" applyBorder="1" applyAlignment="1">
      <alignment horizontal="left" wrapText="1"/>
    </xf>
    <xf numFmtId="0" fontId="21" fillId="11" borderId="0" xfId="2" applyFont="1" applyFill="1" applyBorder="1" applyAlignment="1">
      <alignment horizontal="left" vertical="center" wrapText="1" indent="3"/>
    </xf>
    <xf numFmtId="0" fontId="2" fillId="11" borderId="0" xfId="2" applyFont="1" applyFill="1" applyBorder="1" applyAlignment="1">
      <alignment horizontal="left" vertical="center" wrapText="1" indent="3"/>
    </xf>
    <xf numFmtId="0" fontId="15" fillId="16" borderId="0" xfId="0" applyFont="1" applyFill="1" applyBorder="1" applyAlignment="1" applyProtection="1">
      <alignment horizontal="left" vertical="center" indent="1"/>
      <protection hidden="1"/>
    </xf>
    <xf numFmtId="0" fontId="44" fillId="16" borderId="0" xfId="0" applyFont="1" applyFill="1" applyBorder="1" applyAlignment="1">
      <alignment horizontal="center" vertical="center" wrapText="1"/>
    </xf>
    <xf numFmtId="0" fontId="44" fillId="16" borderId="0" xfId="0" applyFont="1" applyFill="1" applyAlignment="1">
      <alignment horizontal="center" vertical="center" wrapText="1"/>
    </xf>
    <xf numFmtId="0" fontId="65" fillId="0" borderId="0" xfId="0" applyFont="1" applyAlignment="1">
      <alignment horizontal="center"/>
    </xf>
    <xf numFmtId="0" fontId="2" fillId="11" borderId="0" xfId="2" applyFont="1" applyFill="1" applyBorder="1" applyAlignment="1">
      <alignment horizontal="left" vertical="center" wrapText="1" indent="7"/>
    </xf>
    <xf numFmtId="0" fontId="75" fillId="15" borderId="34" xfId="0" applyFont="1" applyFill="1" applyBorder="1" applyAlignment="1">
      <alignment horizontal="center" vertical="center" wrapText="1"/>
    </xf>
    <xf numFmtId="0" fontId="2" fillId="11" borderId="0" xfId="2" applyFont="1" applyFill="1" applyBorder="1" applyAlignment="1">
      <alignment horizontal="center" vertical="center"/>
    </xf>
    <xf numFmtId="0" fontId="44" fillId="16" borderId="3" xfId="0" applyFont="1" applyFill="1" applyBorder="1" applyAlignment="1">
      <alignment horizontal="center" vertical="center" wrapText="1"/>
    </xf>
    <xf numFmtId="0" fontId="75" fillId="15" borderId="29" xfId="0" applyFont="1" applyFill="1" applyBorder="1" applyAlignment="1">
      <alignment horizontal="center" vertical="center" wrapText="1"/>
    </xf>
    <xf numFmtId="0" fontId="75" fillId="15" borderId="31" xfId="0" applyFont="1" applyFill="1" applyBorder="1" applyAlignment="1">
      <alignment horizontal="center" vertical="center" wrapText="1"/>
    </xf>
    <xf numFmtId="0" fontId="75" fillId="15" borderId="32" xfId="0" applyFont="1" applyFill="1" applyBorder="1" applyAlignment="1">
      <alignment horizontal="center" vertical="center" wrapText="1"/>
    </xf>
    <xf numFmtId="0" fontId="75" fillId="15" borderId="33" xfId="0" applyFont="1" applyFill="1" applyBorder="1" applyAlignment="1">
      <alignment horizontal="center" vertical="center" wrapText="1"/>
    </xf>
    <xf numFmtId="0" fontId="75" fillId="15" borderId="51" xfId="0" applyFont="1" applyFill="1" applyBorder="1" applyAlignment="1">
      <alignment horizontal="center" vertical="center" wrapText="1"/>
    </xf>
    <xf numFmtId="0" fontId="75" fillId="15" borderId="52" xfId="0" applyFont="1" applyFill="1" applyBorder="1" applyAlignment="1">
      <alignment horizontal="center" vertical="center" wrapText="1"/>
    </xf>
    <xf numFmtId="0" fontId="44" fillId="6" borderId="50" xfId="0" applyFont="1" applyFill="1" applyBorder="1" applyAlignment="1">
      <alignment horizontal="center" vertical="center" wrapText="1"/>
    </xf>
    <xf numFmtId="0" fontId="15" fillId="6" borderId="0" xfId="0" applyFont="1" applyFill="1" applyBorder="1" applyAlignment="1" applyProtection="1">
      <alignment horizontal="left" vertical="center" indent="1"/>
      <protection hidden="1"/>
    </xf>
    <xf numFmtId="0" fontId="2" fillId="11" borderId="0" xfId="2" applyFont="1" applyFill="1" applyAlignment="1">
      <alignment horizontal="center" vertical="center"/>
    </xf>
    <xf numFmtId="0" fontId="44" fillId="16" borderId="75" xfId="0" applyFont="1" applyFill="1" applyBorder="1" applyAlignment="1">
      <alignment horizontal="center" vertical="center" wrapText="1"/>
    </xf>
  </cellXfs>
  <cellStyles count="8">
    <cellStyle name="Comma" xfId="7" builtinId="3"/>
    <cellStyle name="Excel Built-in Normal" xfId="4" xr:uid="{00000000-0005-0000-0000-000001000000}"/>
    <cellStyle name="Hyperlink" xfId="3" builtinId="8"/>
    <cellStyle name="Hyperlink 2" xfId="5" xr:uid="{00000000-0005-0000-0000-000003000000}"/>
    <cellStyle name="Normal" xfId="0" builtinId="0"/>
    <cellStyle name="Normal 2" xfId="2" xr:uid="{00000000-0005-0000-0000-000005000000}"/>
    <cellStyle name="Normal 2 2" xfId="6" xr:uid="{00000000-0005-0000-0000-000006000000}"/>
    <cellStyle name="Percent" xfId="1" builtinId="5"/>
  </cellStyles>
  <dxfs count="381">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font>
      <fill>
        <patternFill>
          <bgColor rgb="FF58B527"/>
        </patternFill>
      </fill>
    </dxf>
    <dxf>
      <font>
        <color theme="0"/>
      </font>
      <fill>
        <patternFill>
          <bgColor rgb="FFFF0000"/>
        </patternFill>
      </fill>
    </dxf>
    <dxf>
      <font>
        <color theme="0"/>
      </font>
      <fill>
        <patternFill>
          <bgColor theme="0" tint="-0.34998626667073579"/>
        </patternFill>
      </fill>
    </dxf>
    <dxf>
      <font>
        <color theme="0"/>
      </font>
      <fill>
        <patternFill>
          <bgColor rgb="FFFFC000"/>
        </patternFill>
      </fill>
    </dxf>
    <dxf>
      <font>
        <color theme="0"/>
      </font>
      <fill>
        <patternFill>
          <bgColor theme="8" tint="-0.499984740745262"/>
        </patternFill>
      </fill>
    </dxf>
  </dxfs>
  <tableStyles count="0" defaultTableStyle="TableStyleMedium2" defaultPivotStyle="PivotStyleLight16"/>
  <colors>
    <mruColors>
      <color rgb="FF984806"/>
      <color rgb="FF58AB27"/>
      <color rgb="FF943634"/>
      <color rgb="FF76923C"/>
      <color rgb="FF5F4970"/>
      <color rgb="FF974A21"/>
      <color rgb="FF4A562A"/>
      <color rgb="FFA25C39"/>
      <color rgb="FFAC6E4E"/>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335980100135"/>
          <c:y val="2.4700282454767082E-2"/>
          <c:w val="0.57416272340861996"/>
          <c:h val="0.88304393377045853"/>
        </c:manualLayout>
      </c:layout>
      <c:doughnutChart>
        <c:varyColors val="1"/>
        <c:ser>
          <c:idx val="1"/>
          <c:order val="0"/>
          <c:spPr>
            <a:solidFill>
              <a:schemeClr val="accent1"/>
            </a:solidFill>
          </c:spPr>
          <c:dPt>
            <c:idx val="0"/>
            <c:bubble3D val="0"/>
            <c:spPr>
              <a:solidFill>
                <a:srgbClr val="FF0000"/>
              </a:solidFill>
            </c:spPr>
            <c:extLst>
              <c:ext xmlns:c16="http://schemas.microsoft.com/office/drawing/2014/chart" uri="{C3380CC4-5D6E-409C-BE32-E72D297353CC}">
                <c16:uniqueId val="{00000001-41CC-41A8-A986-6FFD8C4068A4}"/>
              </c:ext>
            </c:extLst>
          </c:dPt>
          <c:dPt>
            <c:idx val="1"/>
            <c:bubble3D val="0"/>
            <c:spPr>
              <a:solidFill>
                <a:srgbClr val="58B527"/>
              </a:solidFill>
            </c:spPr>
            <c:extLst>
              <c:ext xmlns:c16="http://schemas.microsoft.com/office/drawing/2014/chart" uri="{C3380CC4-5D6E-409C-BE32-E72D297353CC}">
                <c16:uniqueId val="{00000003-41CC-41A8-A986-6FFD8C4068A4}"/>
              </c:ext>
            </c:extLst>
          </c:dPt>
          <c:dPt>
            <c:idx val="2"/>
            <c:bubble3D val="0"/>
            <c:spPr>
              <a:solidFill>
                <a:schemeClr val="bg1">
                  <a:lumMod val="50000"/>
                </a:schemeClr>
              </a:solidFill>
            </c:spPr>
            <c:extLst>
              <c:ext xmlns:c16="http://schemas.microsoft.com/office/drawing/2014/chart" uri="{C3380CC4-5D6E-409C-BE32-E72D297353CC}">
                <c16:uniqueId val="{00000005-41CC-41A8-A986-6FFD8C4068A4}"/>
              </c:ext>
            </c:extLst>
          </c:dPt>
          <c:dPt>
            <c:idx val="3"/>
            <c:bubble3D val="0"/>
            <c:spPr>
              <a:solidFill>
                <a:srgbClr val="FFC000"/>
              </a:solidFill>
            </c:spPr>
            <c:extLst>
              <c:ext xmlns:c16="http://schemas.microsoft.com/office/drawing/2014/chart" uri="{C3380CC4-5D6E-409C-BE32-E72D297353CC}">
                <c16:uniqueId val="{00000007-41CC-41A8-A986-6FFD8C4068A4}"/>
              </c:ext>
            </c:extLst>
          </c:dPt>
          <c:dPt>
            <c:idx val="4"/>
            <c:bubble3D val="0"/>
            <c:spPr>
              <a:solidFill>
                <a:schemeClr val="accent5">
                  <a:lumMod val="50000"/>
                </a:schemeClr>
              </a:solidFill>
            </c:spPr>
            <c:extLst>
              <c:ext xmlns:c16="http://schemas.microsoft.com/office/drawing/2014/chart" uri="{C3380CC4-5D6E-409C-BE32-E72D297353CC}">
                <c16:uniqueId val="{00000009-41CC-41A8-A986-6FFD8C4068A4}"/>
              </c:ext>
            </c:extLst>
          </c:dPt>
          <c:cat>
            <c:strRef>
              <c:f>'Graphical Results'!$P$5:$P$9</c:f>
              <c:strCache>
                <c:ptCount val="5"/>
                <c:pt idx="0">
                  <c:v>uncertified</c:v>
                </c:pt>
                <c:pt idx="1">
                  <c:v>certified</c:v>
                </c:pt>
                <c:pt idx="2">
                  <c:v>silver</c:v>
                </c:pt>
                <c:pt idx="3">
                  <c:v>gold</c:v>
                </c:pt>
                <c:pt idx="4">
                  <c:v>platinum</c:v>
                </c:pt>
              </c:strCache>
            </c:strRef>
          </c:cat>
          <c:val>
            <c:numRef>
              <c:f>'Graphical Results'!$O$5:$O$9</c:f>
              <c:numCache>
                <c:formatCode>General</c:formatCode>
                <c:ptCount val="5"/>
                <c:pt idx="0">
                  <c:v>24</c:v>
                </c:pt>
                <c:pt idx="1">
                  <c:v>8</c:v>
                </c:pt>
                <c:pt idx="2">
                  <c:v>6</c:v>
                </c:pt>
                <c:pt idx="3">
                  <c:v>6</c:v>
                </c:pt>
                <c:pt idx="4">
                  <c:v>16</c:v>
                </c:pt>
              </c:numCache>
            </c:numRef>
          </c:val>
          <c:extLst>
            <c:ext xmlns:c16="http://schemas.microsoft.com/office/drawing/2014/chart" uri="{C3380CC4-5D6E-409C-BE32-E72D297353CC}">
              <c16:uniqueId val="{0000000A-41CC-41A8-A986-6FFD8C4068A4}"/>
            </c:ext>
          </c:extLst>
        </c:ser>
        <c:dLbls>
          <c:showLegendKey val="0"/>
          <c:showVal val="0"/>
          <c:showCatName val="0"/>
          <c:showSerName val="0"/>
          <c:showPercent val="0"/>
          <c:showBubbleSize val="0"/>
          <c:showLeaderLines val="1"/>
        </c:dLbls>
        <c:firstSliceAng val="360"/>
        <c:holeSize val="80"/>
      </c:doughnutChart>
      <c:pieChart>
        <c:varyColors val="1"/>
        <c:ser>
          <c:idx val="0"/>
          <c:order val="2"/>
          <c:explosion val="2"/>
          <c:dPt>
            <c:idx val="0"/>
            <c:bubble3D val="0"/>
            <c:spPr>
              <a:noFill/>
            </c:spPr>
            <c:extLst>
              <c:ext xmlns:c16="http://schemas.microsoft.com/office/drawing/2014/chart" uri="{C3380CC4-5D6E-409C-BE32-E72D297353CC}">
                <c16:uniqueId val="{0000000C-41CC-41A8-A986-6FFD8C4068A4}"/>
              </c:ext>
            </c:extLst>
          </c:dPt>
          <c:dPt>
            <c:idx val="1"/>
            <c:bubble3D val="0"/>
            <c:spPr>
              <a:solidFill>
                <a:srgbClr val="984806"/>
              </a:solidFill>
            </c:spPr>
            <c:extLst>
              <c:ext xmlns:c16="http://schemas.microsoft.com/office/drawing/2014/chart" uri="{C3380CC4-5D6E-409C-BE32-E72D297353CC}">
                <c16:uniqueId val="{0000000E-41CC-41A8-A986-6FFD8C4068A4}"/>
              </c:ext>
            </c:extLst>
          </c:dPt>
          <c:dPt>
            <c:idx val="2"/>
            <c:bubble3D val="0"/>
            <c:spPr>
              <a:noFill/>
            </c:spPr>
            <c:extLst>
              <c:ext xmlns:c16="http://schemas.microsoft.com/office/drawing/2014/chart" uri="{C3380CC4-5D6E-409C-BE32-E72D297353CC}">
                <c16:uniqueId val="{00000010-41CC-41A8-A986-6FFD8C4068A4}"/>
              </c:ext>
            </c:extLst>
          </c:dPt>
          <c:val>
            <c:numRef>
              <c:f>'Graphical Results'!$O$12:$O$14</c:f>
              <c:numCache>
                <c:formatCode>General</c:formatCode>
                <c:ptCount val="3"/>
                <c:pt idx="0">
                  <c:v>0</c:v>
                </c:pt>
                <c:pt idx="1">
                  <c:v>0.5</c:v>
                </c:pt>
                <c:pt idx="2">
                  <c:v>59.5</c:v>
                </c:pt>
              </c:numCache>
            </c:numRef>
          </c:val>
          <c:extLst>
            <c:ext xmlns:c16="http://schemas.microsoft.com/office/drawing/2014/chart" uri="{C3380CC4-5D6E-409C-BE32-E72D297353CC}">
              <c16:uniqueId val="{00000011-41CC-41A8-A986-6FFD8C4068A4}"/>
            </c:ext>
          </c:extLst>
        </c:ser>
        <c:dLbls>
          <c:showLegendKey val="0"/>
          <c:showVal val="0"/>
          <c:showCatName val="0"/>
          <c:showSerName val="0"/>
          <c:showPercent val="0"/>
          <c:showBubbleSize val="0"/>
          <c:showLeaderLines val="1"/>
        </c:dLbls>
        <c:firstSliceAng val="0"/>
      </c:pieChart>
      <c:doughnutChart>
        <c:varyColors val="1"/>
        <c:ser>
          <c:idx val="2"/>
          <c:order val="1"/>
          <c:spPr>
            <a:noFill/>
          </c:spPr>
          <c:dLbls>
            <c:dLbl>
              <c:idx val="0"/>
              <c:layout>
                <c:manualLayout>
                  <c:x val="-1.8433184182586253E-2"/>
                  <c:y val="0.34019578371524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CC-41A8-A986-6FFD8C4068A4}"/>
                </c:ext>
              </c:extLst>
            </c:dLbl>
            <c:dLbl>
              <c:idx val="1"/>
              <c:layout>
                <c:manualLayout>
                  <c:x val="3.0721973637643906E-3"/>
                  <c:y val="-0.3071211936318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1CC-41A8-A986-6FFD8C4068A4}"/>
                </c:ext>
              </c:extLst>
            </c:dLbl>
            <c:numFmt formatCode="&quot;Points: &quot;\ 0" sourceLinked="0"/>
            <c:spPr>
              <a:noFill/>
              <a:ln>
                <a:noFill/>
              </a:ln>
              <a:effectLst/>
            </c:spPr>
            <c:txPr>
              <a:bodyPr/>
              <a:lstStyle/>
              <a:p>
                <a:pPr>
                  <a:defRPr sz="1200" b="1">
                    <a:solidFill>
                      <a:srgbClr val="984806"/>
                    </a:solidFill>
                    <a:latin typeface="+mn-lt"/>
                  </a:defRPr>
                </a:pPr>
                <a:endParaRPr lang="en-US"/>
              </a:p>
            </c:txPr>
            <c:showLegendKey val="0"/>
            <c:showVal val="1"/>
            <c:showCatName val="0"/>
            <c:showSerName val="0"/>
            <c:showPercent val="0"/>
            <c:showBubbleSize val="0"/>
            <c:showLeaderLines val="1"/>
            <c:leaderLines>
              <c:spPr>
                <a:ln>
                  <a:noFill/>
                </a:ln>
              </c:spPr>
            </c:leaderLines>
            <c:extLst>
              <c:ext xmlns:c15="http://schemas.microsoft.com/office/drawing/2012/chart" uri="{CE6537A1-D6FC-4f65-9D91-7224C49458BB}"/>
            </c:extLst>
          </c:dLbls>
          <c:val>
            <c:numRef>
              <c:f>'Graphical Results'!$N$4:$N$5</c:f>
              <c:numCache>
                <c:formatCode>General</c:formatCode>
                <c:ptCount val="2"/>
                <c:pt idx="1">
                  <c:v>0</c:v>
                </c:pt>
              </c:numCache>
            </c:numRef>
          </c:val>
          <c:extLst>
            <c:ext xmlns:c16="http://schemas.microsoft.com/office/drawing/2014/chart" uri="{C3380CC4-5D6E-409C-BE32-E72D297353CC}">
              <c16:uniqueId val="{00000014-41CC-41A8-A986-6FFD8C4068A4}"/>
            </c:ext>
          </c:extLst>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solidFill>
      <a:sysClr val="window" lastClr="FFFFFF">
        <a:lumMod val="95000"/>
      </a:sysClr>
    </a:solidFill>
    <a:ln>
      <a:noFill/>
    </a:ln>
  </c:spPr>
  <c:printSettings>
    <c:headerFooter/>
    <c:pageMargins b="0.75000000000000488" l="0.70000000000000062" r="0.70000000000000062" t="0.7500000000000048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09732957692215"/>
          <c:y val="5.0214387464387465E-2"/>
          <c:w val="0.8203797346432613"/>
          <c:h val="0.67792165242165248"/>
        </c:manualLayout>
      </c:layout>
      <c:barChart>
        <c:barDir val="col"/>
        <c:grouping val="stacked"/>
        <c:varyColors val="0"/>
        <c:ser>
          <c:idx val="0"/>
          <c:order val="0"/>
          <c:invertIfNegative val="0"/>
          <c:dPt>
            <c:idx val="0"/>
            <c:invertIfNegative val="0"/>
            <c:bubble3D val="0"/>
            <c:spPr>
              <a:solidFill>
                <a:srgbClr val="58AB27"/>
              </a:solidFill>
            </c:spPr>
            <c:extLst>
              <c:ext xmlns:c16="http://schemas.microsoft.com/office/drawing/2014/chart" uri="{C3380CC4-5D6E-409C-BE32-E72D297353CC}">
                <c16:uniqueId val="{00000001-6495-4C53-A7FE-C71191EA1E57}"/>
              </c:ext>
            </c:extLst>
          </c:dPt>
          <c:dPt>
            <c:idx val="1"/>
            <c:invertIfNegative val="0"/>
            <c:bubble3D val="0"/>
            <c:spPr>
              <a:solidFill>
                <a:srgbClr val="0563C1"/>
              </a:solidFill>
            </c:spPr>
            <c:extLst>
              <c:ext xmlns:c16="http://schemas.microsoft.com/office/drawing/2014/chart" uri="{C3380CC4-5D6E-409C-BE32-E72D297353CC}">
                <c16:uniqueId val="{00000003-6495-4C53-A7FE-C71191EA1E57}"/>
              </c:ext>
            </c:extLst>
          </c:dPt>
          <c:dPt>
            <c:idx val="2"/>
            <c:invertIfNegative val="0"/>
            <c:bubble3D val="0"/>
            <c:spPr>
              <a:solidFill>
                <a:srgbClr val="5F4970"/>
              </a:solidFill>
            </c:spPr>
            <c:extLst>
              <c:ext xmlns:c16="http://schemas.microsoft.com/office/drawing/2014/chart" uri="{C3380CC4-5D6E-409C-BE32-E72D297353CC}">
                <c16:uniqueId val="{00000005-6495-4C53-A7FE-C71191EA1E57}"/>
              </c:ext>
            </c:extLst>
          </c:dPt>
          <c:dPt>
            <c:idx val="3"/>
            <c:invertIfNegative val="0"/>
            <c:bubble3D val="0"/>
            <c:spPr>
              <a:solidFill>
                <a:srgbClr val="943634"/>
              </a:solidFill>
            </c:spPr>
            <c:extLst>
              <c:ext xmlns:c16="http://schemas.microsoft.com/office/drawing/2014/chart" uri="{C3380CC4-5D6E-409C-BE32-E72D297353CC}">
                <c16:uniqueId val="{00000007-6495-4C53-A7FE-C71191EA1E57}"/>
              </c:ext>
            </c:extLst>
          </c:dPt>
          <c:dPt>
            <c:idx val="4"/>
            <c:invertIfNegative val="0"/>
            <c:bubble3D val="0"/>
            <c:spPr>
              <a:solidFill>
                <a:srgbClr val="76923C"/>
              </a:solidFill>
            </c:spPr>
            <c:extLst>
              <c:ext xmlns:c16="http://schemas.microsoft.com/office/drawing/2014/chart" uri="{C3380CC4-5D6E-409C-BE32-E72D297353CC}">
                <c16:uniqueId val="{00000009-6495-4C53-A7FE-C71191EA1E57}"/>
              </c:ext>
            </c:extLst>
          </c:dPt>
          <c:dPt>
            <c:idx val="5"/>
            <c:invertIfNegative val="0"/>
            <c:bubble3D val="0"/>
            <c:spPr>
              <a:solidFill>
                <a:srgbClr val="984806"/>
              </a:solidFill>
            </c:spPr>
            <c:extLst>
              <c:ext xmlns:c16="http://schemas.microsoft.com/office/drawing/2014/chart" uri="{C3380CC4-5D6E-409C-BE32-E72D297353CC}">
                <c16:uniqueId val="{0000000B-6495-4C53-A7FE-C71191EA1E57}"/>
              </c:ext>
            </c:extLst>
          </c:dPt>
          <c:dPt>
            <c:idx val="6"/>
            <c:invertIfNegative val="0"/>
            <c:bubble3D val="0"/>
            <c:spPr>
              <a:solidFill>
                <a:srgbClr val="FFC000"/>
              </a:solidFill>
            </c:spPr>
            <c:extLst>
              <c:ext xmlns:c16="http://schemas.microsoft.com/office/drawing/2014/chart" uri="{C3380CC4-5D6E-409C-BE32-E72D297353CC}">
                <c16:uniqueId val="{0000000D-6495-4C53-A7FE-C71191EA1E57}"/>
              </c:ext>
            </c:extLst>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 Results'!$R$5:$R$11</c:f>
              <c:strCache>
                <c:ptCount val="7"/>
                <c:pt idx="0">
                  <c:v>Energy</c:v>
                </c:pt>
                <c:pt idx="1">
                  <c:v>Water</c:v>
                </c:pt>
                <c:pt idx="2">
                  <c:v>M&amp;R</c:v>
                </c:pt>
                <c:pt idx="3">
                  <c:v>H&amp;C</c:v>
                </c:pt>
                <c:pt idx="4">
                  <c:v>S&amp;E</c:v>
                </c:pt>
                <c:pt idx="5">
                  <c:v>Management</c:v>
                </c:pt>
                <c:pt idx="6">
                  <c:v>EP</c:v>
                </c:pt>
              </c:strCache>
            </c:strRef>
          </c:cat>
          <c:val>
            <c:numRef>
              <c:f>'Graphical Results'!$T$5:$T$11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0-6495-4C53-A7FE-C71191EA1E57}"/>
            </c:ext>
          </c:extLst>
        </c:ser>
        <c:ser>
          <c:idx val="1"/>
          <c:order val="1"/>
          <c:invertIfNegative val="0"/>
          <c:dPt>
            <c:idx val="0"/>
            <c:invertIfNegative val="0"/>
            <c:bubble3D val="0"/>
            <c:spPr>
              <a:solidFill>
                <a:srgbClr val="58AB27">
                  <a:alpha val="50000"/>
                </a:srgbClr>
              </a:solidFill>
            </c:spPr>
            <c:extLst>
              <c:ext xmlns:c16="http://schemas.microsoft.com/office/drawing/2014/chart" uri="{C3380CC4-5D6E-409C-BE32-E72D297353CC}">
                <c16:uniqueId val="{00000012-6495-4C53-A7FE-C71191EA1E57}"/>
              </c:ext>
            </c:extLst>
          </c:dPt>
          <c:dPt>
            <c:idx val="1"/>
            <c:invertIfNegative val="0"/>
            <c:bubble3D val="0"/>
            <c:spPr>
              <a:solidFill>
                <a:srgbClr val="0070C0">
                  <a:alpha val="50000"/>
                </a:srgbClr>
              </a:solidFill>
            </c:spPr>
            <c:extLst>
              <c:ext xmlns:c16="http://schemas.microsoft.com/office/drawing/2014/chart" uri="{C3380CC4-5D6E-409C-BE32-E72D297353CC}">
                <c16:uniqueId val="{00000014-6495-4C53-A7FE-C71191EA1E57}"/>
              </c:ext>
            </c:extLst>
          </c:dPt>
          <c:dPt>
            <c:idx val="2"/>
            <c:invertIfNegative val="0"/>
            <c:bubble3D val="0"/>
            <c:spPr>
              <a:solidFill>
                <a:srgbClr val="5F4970">
                  <a:alpha val="50000"/>
                </a:srgbClr>
              </a:solidFill>
            </c:spPr>
            <c:extLst>
              <c:ext xmlns:c16="http://schemas.microsoft.com/office/drawing/2014/chart" uri="{C3380CC4-5D6E-409C-BE32-E72D297353CC}">
                <c16:uniqueId val="{00000016-6495-4C53-A7FE-C71191EA1E57}"/>
              </c:ext>
            </c:extLst>
          </c:dPt>
          <c:dPt>
            <c:idx val="3"/>
            <c:invertIfNegative val="0"/>
            <c:bubble3D val="0"/>
            <c:spPr>
              <a:solidFill>
                <a:srgbClr val="943634">
                  <a:alpha val="50000"/>
                </a:srgbClr>
              </a:solidFill>
            </c:spPr>
            <c:extLst>
              <c:ext xmlns:c16="http://schemas.microsoft.com/office/drawing/2014/chart" uri="{C3380CC4-5D6E-409C-BE32-E72D297353CC}">
                <c16:uniqueId val="{00000018-6495-4C53-A7FE-C71191EA1E57}"/>
              </c:ext>
            </c:extLst>
          </c:dPt>
          <c:dPt>
            <c:idx val="4"/>
            <c:invertIfNegative val="0"/>
            <c:bubble3D val="0"/>
            <c:spPr>
              <a:solidFill>
                <a:srgbClr val="76923C">
                  <a:alpha val="50000"/>
                </a:srgbClr>
              </a:solidFill>
            </c:spPr>
            <c:extLst>
              <c:ext xmlns:c16="http://schemas.microsoft.com/office/drawing/2014/chart" uri="{C3380CC4-5D6E-409C-BE32-E72D297353CC}">
                <c16:uniqueId val="{0000001A-6495-4C53-A7FE-C71191EA1E57}"/>
              </c:ext>
            </c:extLst>
          </c:dPt>
          <c:dPt>
            <c:idx val="5"/>
            <c:invertIfNegative val="0"/>
            <c:bubble3D val="0"/>
            <c:spPr>
              <a:solidFill>
                <a:srgbClr val="984806">
                  <a:alpha val="50000"/>
                </a:srgbClr>
              </a:solidFill>
            </c:spPr>
            <c:extLst>
              <c:ext xmlns:c16="http://schemas.microsoft.com/office/drawing/2014/chart" uri="{C3380CC4-5D6E-409C-BE32-E72D297353CC}">
                <c16:uniqueId val="{0000001C-6495-4C53-A7FE-C71191EA1E57}"/>
              </c:ext>
            </c:extLst>
          </c:dPt>
          <c:dPt>
            <c:idx val="6"/>
            <c:invertIfNegative val="0"/>
            <c:bubble3D val="0"/>
            <c:spPr>
              <a:solidFill>
                <a:srgbClr val="FFC000">
                  <a:alpha val="50000"/>
                </a:srgbClr>
              </a:solidFill>
            </c:spPr>
            <c:extLst>
              <c:ext xmlns:c16="http://schemas.microsoft.com/office/drawing/2014/chart" uri="{C3380CC4-5D6E-409C-BE32-E72D297353CC}">
                <c16:uniqueId val="{0000001E-6495-4C53-A7FE-C71191EA1E57}"/>
              </c:ext>
            </c:extLst>
          </c:dPt>
          <c:cat>
            <c:strRef>
              <c:f>'Graphical Results'!$R$5:$R$11</c:f>
              <c:strCache>
                <c:ptCount val="7"/>
                <c:pt idx="0">
                  <c:v>Energy</c:v>
                </c:pt>
                <c:pt idx="1">
                  <c:v>Water</c:v>
                </c:pt>
                <c:pt idx="2">
                  <c:v>M&amp;R</c:v>
                </c:pt>
                <c:pt idx="3">
                  <c:v>H&amp;C</c:v>
                </c:pt>
                <c:pt idx="4">
                  <c:v>S&amp;E</c:v>
                </c:pt>
                <c:pt idx="5">
                  <c:v>Management</c:v>
                </c:pt>
                <c:pt idx="6">
                  <c:v>EP</c:v>
                </c:pt>
              </c:strCache>
            </c:strRef>
          </c:cat>
          <c:val>
            <c:numRef>
              <c:f>'Graphical Results'!$U$5:$U$11</c:f>
              <c:numCache>
                <c:formatCode>General</c:formatCode>
                <c:ptCount val="7"/>
                <c:pt idx="0">
                  <c:v>18</c:v>
                </c:pt>
                <c:pt idx="1">
                  <c:v>6</c:v>
                </c:pt>
                <c:pt idx="2">
                  <c:v>12</c:v>
                </c:pt>
                <c:pt idx="3">
                  <c:v>17</c:v>
                </c:pt>
                <c:pt idx="4">
                  <c:v>8</c:v>
                </c:pt>
                <c:pt idx="5">
                  <c:v>10</c:v>
                </c:pt>
                <c:pt idx="6">
                  <c:v>4</c:v>
                </c:pt>
              </c:numCache>
            </c:numRef>
          </c:val>
          <c:extLst>
            <c:ext xmlns:c16="http://schemas.microsoft.com/office/drawing/2014/chart" uri="{C3380CC4-5D6E-409C-BE32-E72D297353CC}">
              <c16:uniqueId val="{00000021-6495-4C53-A7FE-C71191EA1E57}"/>
            </c:ext>
          </c:extLst>
        </c:ser>
        <c:dLbls>
          <c:showLegendKey val="0"/>
          <c:showVal val="0"/>
          <c:showCatName val="0"/>
          <c:showSerName val="0"/>
          <c:showPercent val="0"/>
          <c:showBubbleSize val="0"/>
        </c:dLbls>
        <c:gapWidth val="69"/>
        <c:overlap val="100"/>
        <c:axId val="-294289456"/>
        <c:axId val="-294292720"/>
      </c:barChart>
      <c:catAx>
        <c:axId val="-294289456"/>
        <c:scaling>
          <c:orientation val="minMax"/>
        </c:scaling>
        <c:delete val="0"/>
        <c:axPos val="b"/>
        <c:numFmt formatCode="General" sourceLinked="0"/>
        <c:majorTickMark val="out"/>
        <c:minorTickMark val="none"/>
        <c:tickLblPos val="nextTo"/>
        <c:spPr>
          <a:noFill/>
          <a:ln w="0">
            <a:noFill/>
          </a:ln>
        </c:spPr>
        <c:crossAx val="-294292720"/>
        <c:crosses val="autoZero"/>
        <c:auto val="1"/>
        <c:lblAlgn val="ctr"/>
        <c:lblOffset val="100"/>
        <c:noMultiLvlLbl val="0"/>
      </c:catAx>
      <c:valAx>
        <c:axId val="-294292720"/>
        <c:scaling>
          <c:orientation val="minMax"/>
          <c:max val="21"/>
          <c:min val="0"/>
        </c:scaling>
        <c:delete val="0"/>
        <c:axPos val="l"/>
        <c:title>
          <c:tx>
            <c:rich>
              <a:bodyPr rot="-5400000" vert="horz" anchor="ctr" anchorCtr="1"/>
              <a:lstStyle/>
              <a:p>
                <a:pPr>
                  <a:defRPr/>
                </a:pPr>
                <a:r>
                  <a:rPr lang="fr-FR" sz="1050" b="0"/>
                  <a:t>Points / Points available</a:t>
                </a:r>
              </a:p>
            </c:rich>
          </c:tx>
          <c:layout>
            <c:manualLayout>
              <c:xMode val="edge"/>
              <c:yMode val="edge"/>
              <c:x val="2.1406727828746242E-2"/>
              <c:y val="0.15582732228401519"/>
            </c:manualLayout>
          </c:layout>
          <c:overlay val="0"/>
        </c:title>
        <c:numFmt formatCode="General" sourceLinked="1"/>
        <c:majorTickMark val="out"/>
        <c:minorTickMark val="none"/>
        <c:tickLblPos val="nextTo"/>
        <c:spPr>
          <a:ln>
            <a:solidFill>
              <a:schemeClr val="bg1">
                <a:lumMod val="75000"/>
              </a:schemeClr>
            </a:solidFill>
          </a:ln>
        </c:spPr>
        <c:crossAx val="-294289456"/>
        <c:crosses val="autoZero"/>
        <c:crossBetween val="between"/>
      </c:valAx>
      <c:spPr>
        <a:solidFill>
          <a:schemeClr val="bg1">
            <a:lumMod val="95000"/>
          </a:schemeClr>
        </a:solidFill>
      </c:spPr>
    </c:plotArea>
    <c:plotVisOnly val="0"/>
    <c:dispBlanksAs val="gap"/>
    <c:showDLblsOverMax val="0"/>
  </c:chart>
  <c:spPr>
    <a:noFill/>
    <a:ln>
      <a:noFill/>
    </a:ln>
  </c:spPr>
  <c:printSettings>
    <c:headerFooter/>
    <c:pageMargins b="0.75000000000000377" l="0.70000000000000062" r="0.70000000000000062" t="0.750000000000003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spPr>
            <a:solidFill>
              <a:srgbClr val="FFAF00">
                <a:alpha val="50196"/>
              </a:srgbClr>
            </a:solidFill>
            <a:ln>
              <a:solidFill>
                <a:srgbClr val="FFC000"/>
              </a:solidFill>
            </a:ln>
          </c:spPr>
          <c:cat>
            <c:strRef>
              <c:f>'Graphical Results'!$R$5:$R$10</c:f>
              <c:strCache>
                <c:ptCount val="6"/>
                <c:pt idx="0">
                  <c:v>Energy</c:v>
                </c:pt>
                <c:pt idx="1">
                  <c:v>Water</c:v>
                </c:pt>
                <c:pt idx="2">
                  <c:v>M&amp;R</c:v>
                </c:pt>
                <c:pt idx="3">
                  <c:v>H&amp;C</c:v>
                </c:pt>
                <c:pt idx="4">
                  <c:v>S&amp;E</c:v>
                </c:pt>
                <c:pt idx="5">
                  <c:v>Management</c:v>
                </c:pt>
              </c:strCache>
            </c:strRef>
          </c:cat>
          <c:val>
            <c:numRef>
              <c:f>'Graphical Results'!$S$13:$S$18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D17-45AE-9B20-A15F1DB63DFA}"/>
            </c:ext>
          </c:extLst>
        </c:ser>
        <c:dLbls>
          <c:showLegendKey val="0"/>
          <c:showVal val="0"/>
          <c:showCatName val="0"/>
          <c:showSerName val="0"/>
          <c:showPercent val="0"/>
          <c:showBubbleSize val="0"/>
        </c:dLbls>
        <c:axId val="-294282384"/>
        <c:axId val="-294293808"/>
      </c:radarChart>
      <c:catAx>
        <c:axId val="-294282384"/>
        <c:scaling>
          <c:orientation val="minMax"/>
        </c:scaling>
        <c:delete val="0"/>
        <c:axPos val="b"/>
        <c:majorGridlines/>
        <c:numFmt formatCode="General" sourceLinked="0"/>
        <c:majorTickMark val="out"/>
        <c:minorTickMark val="none"/>
        <c:tickLblPos val="nextTo"/>
        <c:crossAx val="-294293808"/>
        <c:crosses val="autoZero"/>
        <c:auto val="1"/>
        <c:lblAlgn val="ctr"/>
        <c:lblOffset val="100"/>
        <c:noMultiLvlLbl val="0"/>
      </c:catAx>
      <c:valAx>
        <c:axId val="-294293808"/>
        <c:scaling>
          <c:orientation val="minMax"/>
          <c:max val="1"/>
        </c:scaling>
        <c:delete val="0"/>
        <c:axPos val="l"/>
        <c:majorGridlines/>
        <c:numFmt formatCode="0%" sourceLinked="0"/>
        <c:majorTickMark val="cross"/>
        <c:minorTickMark val="none"/>
        <c:tickLblPos val="nextTo"/>
        <c:crossAx val="-294282384"/>
        <c:crosses val="autoZero"/>
        <c:crossBetween val="between"/>
      </c:valAx>
      <c:spPr>
        <a:solidFill>
          <a:sysClr val="window" lastClr="FFFFFF">
            <a:lumMod val="95000"/>
          </a:sysClr>
        </a:solidFill>
        <a:ln>
          <a:noFill/>
        </a:ln>
      </c:spPr>
    </c:plotArea>
    <c:plotVisOnly val="0"/>
    <c:dispBlanksAs val="gap"/>
    <c:showDLblsOverMax val="0"/>
  </c:chart>
  <c:spPr>
    <a:solidFill>
      <a:sysClr val="window" lastClr="FFFFFF">
        <a:lumMod val="95000"/>
      </a:sysClr>
    </a:solidFill>
    <a:ln>
      <a:noFill/>
    </a:ln>
  </c:spPr>
  <c:printSettings>
    <c:headerFooter/>
    <c:pageMargins b="0.75000000000000289" l="0.70000000000000062" r="0.70000000000000062" t="0.75000000000000289" header="0.30000000000000032" footer="0.30000000000000032"/>
    <c:pageSetup/>
  </c:printSettings>
</c:chartSpace>
</file>

<file path=xl/diagrams/_rels/data1.xml.rels><?xml version="1.0" encoding="UTF-8" standalone="yes"?>
<Relationships xmlns="http://schemas.openxmlformats.org/package/2006/relationships"><Relationship Id="rId8" Type="http://schemas.openxmlformats.org/officeDocument/2006/relationships/hyperlink" Target="#'Exceptional Performance'!K2"/><Relationship Id="rId13"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18.png"/><Relationship Id="rId12" Type="http://schemas.openxmlformats.org/officeDocument/2006/relationships/hyperlink" Target="#'Health &amp; Comfort'!K2"/><Relationship Id="rId2" Type="http://schemas.openxmlformats.org/officeDocument/2006/relationships/hyperlink" Target="#Energy!K2"/><Relationship Id="rId1" Type="http://schemas.openxmlformats.org/officeDocument/2006/relationships/image" Target="../media/image15.png"/><Relationship Id="rId6" Type="http://schemas.openxmlformats.org/officeDocument/2006/relationships/hyperlink" Target="#'Materials &amp; Resources'!K2"/><Relationship Id="rId11" Type="http://schemas.openxmlformats.org/officeDocument/2006/relationships/image" Target="../media/image20.png"/><Relationship Id="rId5" Type="http://schemas.openxmlformats.org/officeDocument/2006/relationships/image" Target="../media/image17.png"/><Relationship Id="rId10" Type="http://schemas.openxmlformats.org/officeDocument/2006/relationships/hyperlink" Target="#Management!K2"/><Relationship Id="rId4" Type="http://schemas.openxmlformats.org/officeDocument/2006/relationships/hyperlink" Target="#Water!K2"/><Relationship Id="rId9" Type="http://schemas.openxmlformats.org/officeDocument/2006/relationships/image" Target="../media/image19.png"/><Relationship Id="rId14" Type="http://schemas.openxmlformats.org/officeDocument/2006/relationships/hyperlink" Target="#'Site &amp; Environment'!K2"/></Relationships>
</file>

<file path=xl/diagrams/_rels/drawing1.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png"/><Relationship Id="rId5" Type="http://schemas.openxmlformats.org/officeDocument/2006/relationships/image" Target="../media/image21.png"/><Relationship Id="rId4" Type="http://schemas.openxmlformats.org/officeDocument/2006/relationships/image" Target="../media/image20.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5AF6EE8-0C43-4FC3-A266-A5F8338CDCDB}" type="doc">
      <dgm:prSet loTypeId="urn:microsoft.com/office/officeart/2005/8/layout/radial3" loCatId="cycle" qsTypeId="urn:microsoft.com/office/officeart/2005/8/quickstyle/simple1" qsCatId="simple" csTypeId="urn:microsoft.com/office/officeart/2005/8/colors/accent1_2" csCatId="accent1" phldr="1"/>
      <dgm:spPr/>
      <dgm:t>
        <a:bodyPr/>
        <a:lstStyle/>
        <a:p>
          <a:endParaRPr lang="en-US"/>
        </a:p>
      </dgm:t>
    </dgm:pt>
    <dgm:pt modelId="{4DD11E8D-E9E8-44E3-A7F0-19D0B9B49712}">
      <dgm:prSet phldrT="[Text]"/>
      <dgm:spPr>
        <a:solidFill>
          <a:srgbClr val="984806">
            <a:alpha val="50000"/>
          </a:srgbClr>
        </a:solidFill>
      </dgm:spPr>
      <dgm:t>
        <a:bodyPr/>
        <a:lstStyle/>
        <a:p>
          <a:r>
            <a:rPr lang="en-US">
              <a:solidFill>
                <a:schemeClr val="bg1"/>
              </a:solidFill>
              <a:latin typeface="+mn-lt"/>
            </a:rPr>
            <a:t>LOTUS Small</a:t>
          </a:r>
          <a:r>
            <a:rPr lang="en-US" baseline="-25000">
              <a:solidFill>
                <a:schemeClr val="bg1"/>
              </a:solidFill>
              <a:latin typeface="+mn-lt"/>
            </a:rPr>
            <a:t> </a:t>
          </a:r>
          <a:r>
            <a:rPr lang="en-US">
              <a:solidFill>
                <a:schemeClr val="bg1"/>
              </a:solidFill>
              <a:latin typeface="+mn-lt"/>
            </a:rPr>
            <a:t>Interiors</a:t>
          </a:r>
          <a:endParaRPr lang="en-US"/>
        </a:p>
      </dgm:t>
    </dgm:pt>
    <dgm:pt modelId="{E965CF15-D59C-44EF-80EE-7C2FF9A739D7}" type="parTrans" cxnId="{5C3CBEA1-1674-4D4E-ADD2-C05C6648487E}">
      <dgm:prSet/>
      <dgm:spPr/>
      <dgm:t>
        <a:bodyPr/>
        <a:lstStyle/>
        <a:p>
          <a:endParaRPr lang="en-US"/>
        </a:p>
      </dgm:t>
    </dgm:pt>
    <dgm:pt modelId="{E96464BA-12B4-444E-B5CD-5F1D9A06BD33}" type="sibTrans" cxnId="{5C3CBEA1-1674-4D4E-ADD2-C05C6648487E}">
      <dgm:prSet/>
      <dgm:spPr/>
      <dgm:t>
        <a:bodyPr/>
        <a:lstStyle/>
        <a:p>
          <a:endParaRPr lang="en-US"/>
        </a:p>
      </dgm:t>
    </dgm:pt>
    <dgm:pt modelId="{F75E78FF-47DE-4AEE-9F0F-BC0B9E633FDA}">
      <dgm:prSet phldrT="[Text]" custT="1"/>
      <dgm:spPr>
        <a:blipFill rotWithShape="0">
          <a:blip xmlns:r="http://schemas.openxmlformats.org/officeDocument/2006/relationships" r:embed="rId1" cstate="print"/>
          <a:srcRect/>
          <a:stretch>
            <a:fillRect/>
          </a:stretch>
        </a:blipFill>
      </dgm:spPr>
      <dgm:t>
        <a:bodyPr/>
        <a:lstStyle/>
        <a:p>
          <a:r>
            <a:rPr lang="en-US" sz="800">
              <a:solidFill>
                <a:schemeClr val="bg1"/>
              </a:solidFill>
            </a:rPr>
            <a:t>.</a:t>
          </a:r>
        </a:p>
      </dgm:t>
      <dgm:extLst>
        <a:ext uri="{E40237B7-FDA0-4F09-8148-C483321AD2D9}">
          <dgm14:cNvPr xmlns:dgm14="http://schemas.microsoft.com/office/drawing/2010/diagram" id="0" name="">
            <a:hlinkClick xmlns:r="http://schemas.openxmlformats.org/officeDocument/2006/relationships" r:id="rId2" tooltip="Energy"/>
          </dgm14:cNvPr>
        </a:ext>
      </dgm:extLst>
    </dgm:pt>
    <dgm:pt modelId="{31C93617-6131-4B8A-94AF-DA21347500C5}" type="parTrans" cxnId="{5A6568E4-F234-42D5-88D2-55CD73222D2F}">
      <dgm:prSet/>
      <dgm:spPr/>
      <dgm:t>
        <a:bodyPr/>
        <a:lstStyle/>
        <a:p>
          <a:endParaRPr lang="en-US"/>
        </a:p>
      </dgm:t>
    </dgm:pt>
    <dgm:pt modelId="{67BB1357-259F-4899-96D2-9282D6FBCFE1}" type="sibTrans" cxnId="{5A6568E4-F234-42D5-88D2-55CD73222D2F}">
      <dgm:prSet/>
      <dgm:spPr/>
      <dgm:t>
        <a:bodyPr/>
        <a:lstStyle/>
        <a:p>
          <a:endParaRPr lang="en-US"/>
        </a:p>
      </dgm:t>
    </dgm:pt>
    <dgm:pt modelId="{B4E83715-8EAB-4103-8DE6-DF5CC60E224B}">
      <dgm:prSet phldrT="[Text]" custT="1"/>
      <dgm:spPr>
        <a:blipFill rotWithShape="0">
          <a:blip xmlns:r="http://schemas.openxmlformats.org/officeDocument/2006/relationships" r:embed="rId3" cstate="print"/>
          <a:srcRect/>
          <a:stretch>
            <a:fillRect/>
          </a:stretch>
        </a:blipFill>
      </dgm:spPr>
      <dgm:t>
        <a:bodyPr/>
        <a:lstStyle/>
        <a:p>
          <a:r>
            <a:rPr lang="en-US" sz="800">
              <a:solidFill>
                <a:schemeClr val="bg1"/>
              </a:solidFill>
            </a:rPr>
            <a:t>.</a:t>
          </a:r>
        </a:p>
      </dgm:t>
      <dgm:extLst>
        <a:ext uri="{E40237B7-FDA0-4F09-8148-C483321AD2D9}">
          <dgm14:cNvPr xmlns:dgm14="http://schemas.microsoft.com/office/drawing/2010/diagram" id="0" name="">
            <a:hlinkClick xmlns:r="http://schemas.openxmlformats.org/officeDocument/2006/relationships" r:id="rId4" tooltip="Water"/>
          </dgm14:cNvPr>
        </a:ext>
      </dgm:extLst>
    </dgm:pt>
    <dgm:pt modelId="{EAE10853-2002-4B7B-9FBB-8F16E4AE97C8}" type="parTrans" cxnId="{698434C0-F08B-4522-8E95-499CEE4E32E4}">
      <dgm:prSet/>
      <dgm:spPr/>
      <dgm:t>
        <a:bodyPr/>
        <a:lstStyle/>
        <a:p>
          <a:endParaRPr lang="en-US"/>
        </a:p>
      </dgm:t>
    </dgm:pt>
    <dgm:pt modelId="{6455CAB7-3DF6-4A64-9C51-A049CE701F9E}" type="sibTrans" cxnId="{698434C0-F08B-4522-8E95-499CEE4E32E4}">
      <dgm:prSet/>
      <dgm:spPr/>
      <dgm:t>
        <a:bodyPr/>
        <a:lstStyle/>
        <a:p>
          <a:endParaRPr lang="en-US"/>
        </a:p>
      </dgm:t>
    </dgm:pt>
    <dgm:pt modelId="{264A4ECE-92F1-4063-A1D6-BE77F6067954}">
      <dgm:prSet phldrT="[Text]" custT="1"/>
      <dgm:spPr>
        <a:blipFill rotWithShape="0">
          <a:blip xmlns:r="http://schemas.openxmlformats.org/officeDocument/2006/relationships" r:embed="rId5" cstate="print"/>
          <a:srcRect/>
          <a:stretch>
            <a:fillRect/>
          </a:stretch>
        </a:blipFill>
      </dgm:spPr>
      <dgm:t>
        <a:bodyPr/>
        <a:lstStyle/>
        <a:p>
          <a:r>
            <a:rPr lang="en-US" sz="800">
              <a:solidFill>
                <a:schemeClr val="bg1"/>
              </a:solidFill>
            </a:rPr>
            <a:t>.</a:t>
          </a:r>
        </a:p>
      </dgm:t>
      <dgm:extLst>
        <a:ext uri="{E40237B7-FDA0-4F09-8148-C483321AD2D9}">
          <dgm14:cNvPr xmlns:dgm14="http://schemas.microsoft.com/office/drawing/2010/diagram" id="0" name="">
            <a:hlinkClick xmlns:r="http://schemas.openxmlformats.org/officeDocument/2006/relationships" r:id="rId6" tooltip="Materials &amp; Resources"/>
          </dgm14:cNvPr>
        </a:ext>
      </dgm:extLst>
    </dgm:pt>
    <dgm:pt modelId="{FBE09C05-8346-4AE4-94FC-6330FC02F45A}" type="parTrans" cxnId="{1D71723E-F132-40C8-9F3F-1DBA3ECF1775}">
      <dgm:prSet/>
      <dgm:spPr/>
      <dgm:t>
        <a:bodyPr/>
        <a:lstStyle/>
        <a:p>
          <a:endParaRPr lang="en-US"/>
        </a:p>
      </dgm:t>
    </dgm:pt>
    <dgm:pt modelId="{6A8FA5C2-F630-40C6-BFD7-08DCF4CA36AB}" type="sibTrans" cxnId="{1D71723E-F132-40C8-9F3F-1DBA3ECF1775}">
      <dgm:prSet/>
      <dgm:spPr/>
      <dgm:t>
        <a:bodyPr/>
        <a:lstStyle/>
        <a:p>
          <a:endParaRPr lang="en-US"/>
        </a:p>
      </dgm:t>
    </dgm:pt>
    <dgm:pt modelId="{CE8A09E0-1AE8-4099-B959-4F8B7F07BB01}">
      <dgm:prSet phldrT="[Text]" custT="1"/>
      <dgm:spPr>
        <a:blipFill rotWithShape="0">
          <a:blip xmlns:r="http://schemas.openxmlformats.org/officeDocument/2006/relationships" r:embed="rId7" cstate="print"/>
          <a:srcRect/>
          <a:stretch>
            <a:fillRect/>
          </a:stretch>
        </a:blipFill>
      </dgm:spPr>
      <dgm:t>
        <a:bodyPr/>
        <a:lstStyle/>
        <a:p>
          <a:r>
            <a:rPr lang="en-US" sz="800">
              <a:solidFill>
                <a:schemeClr val="bg1"/>
              </a:solidFill>
            </a:rPr>
            <a:t>.</a:t>
          </a:r>
        </a:p>
      </dgm:t>
      <dgm:extLst>
        <a:ext uri="{E40237B7-FDA0-4F09-8148-C483321AD2D9}">
          <dgm14:cNvPr xmlns:dgm14="http://schemas.microsoft.com/office/drawing/2010/diagram" id="0" name="">
            <a:hlinkClick xmlns:r="http://schemas.openxmlformats.org/officeDocument/2006/relationships" r:id="rId8" tooltip="Exceptional Performance"/>
          </dgm14:cNvPr>
        </a:ext>
      </dgm:extLst>
    </dgm:pt>
    <dgm:pt modelId="{87862EC5-C5B2-464F-9114-3325CC3F4164}" type="parTrans" cxnId="{DEEE9A35-DE96-4261-9A4A-C9FA444012EB}">
      <dgm:prSet/>
      <dgm:spPr/>
      <dgm:t>
        <a:bodyPr/>
        <a:lstStyle/>
        <a:p>
          <a:endParaRPr lang="en-US"/>
        </a:p>
      </dgm:t>
    </dgm:pt>
    <dgm:pt modelId="{D17236A9-6BE9-4468-9FE7-B900E8B9EC65}" type="sibTrans" cxnId="{DEEE9A35-DE96-4261-9A4A-C9FA444012EB}">
      <dgm:prSet/>
      <dgm:spPr/>
      <dgm:t>
        <a:bodyPr/>
        <a:lstStyle/>
        <a:p>
          <a:endParaRPr lang="en-US"/>
        </a:p>
      </dgm:t>
    </dgm:pt>
    <dgm:pt modelId="{4BD854B7-9515-4294-B509-7D95FBE285D1}">
      <dgm:prSet phldrT="[Text]"/>
      <dgm:spPr>
        <a:blipFill rotWithShape="0">
          <a:blip xmlns:r="http://schemas.openxmlformats.org/officeDocument/2006/relationships" r:embed="rId9" cstate="print"/>
          <a:srcRect/>
          <a:stretch>
            <a:fillRect/>
          </a:stretch>
        </a:blipFill>
      </dgm:spPr>
      <dgm:t>
        <a:bodyPr/>
        <a:lstStyle/>
        <a:p>
          <a:endParaRPr lang="en-US"/>
        </a:p>
      </dgm:t>
      <dgm:extLst>
        <a:ext uri="{E40237B7-FDA0-4F09-8148-C483321AD2D9}">
          <dgm14:cNvPr xmlns:dgm14="http://schemas.microsoft.com/office/drawing/2010/diagram" id="0" name="">
            <a:hlinkClick xmlns:r="http://schemas.openxmlformats.org/officeDocument/2006/relationships" r:id="rId10" tooltip="Management"/>
          </dgm14:cNvPr>
        </a:ext>
      </dgm:extLst>
    </dgm:pt>
    <dgm:pt modelId="{FBD92801-F13F-47F4-8E52-DF69FD6C01AC}" type="parTrans" cxnId="{EFCCAE56-6BC2-44E2-B6B2-8F42DCB15AA7}">
      <dgm:prSet/>
      <dgm:spPr/>
      <dgm:t>
        <a:bodyPr/>
        <a:lstStyle/>
        <a:p>
          <a:endParaRPr lang="en-US"/>
        </a:p>
      </dgm:t>
    </dgm:pt>
    <dgm:pt modelId="{B17F4E85-E1FB-44F2-835F-67685DDD2723}" type="sibTrans" cxnId="{EFCCAE56-6BC2-44E2-B6B2-8F42DCB15AA7}">
      <dgm:prSet/>
      <dgm:spPr/>
      <dgm:t>
        <a:bodyPr/>
        <a:lstStyle/>
        <a:p>
          <a:endParaRPr lang="en-US"/>
        </a:p>
      </dgm:t>
    </dgm:pt>
    <dgm:pt modelId="{0AE063DC-1E87-4144-ACD6-3DD633052DC0}">
      <dgm:prSet phldrT="[Text]"/>
      <dgm:spPr>
        <a:blipFill rotWithShape="0">
          <a:blip xmlns:r="http://schemas.openxmlformats.org/officeDocument/2006/relationships" r:embed="rId11" cstate="print"/>
          <a:srcRect/>
          <a:stretch>
            <a:fillRect/>
          </a:stretch>
        </a:blipFill>
      </dgm:spPr>
      <dgm:t>
        <a:bodyPr/>
        <a:lstStyle/>
        <a:p>
          <a:endParaRPr lang="en-US"/>
        </a:p>
      </dgm:t>
      <dgm:extLst>
        <a:ext uri="{E40237B7-FDA0-4F09-8148-C483321AD2D9}">
          <dgm14:cNvPr xmlns:dgm14="http://schemas.microsoft.com/office/drawing/2010/diagram" id="0" name="">
            <a:hlinkClick xmlns:r="http://schemas.openxmlformats.org/officeDocument/2006/relationships" r:id="rId12" tooltip="Health &amp; Comfort"/>
          </dgm14:cNvPr>
        </a:ext>
      </dgm:extLst>
    </dgm:pt>
    <dgm:pt modelId="{1ED36D6C-E160-4C68-92AC-6153AAC0D714}" type="parTrans" cxnId="{FA6341E4-BB3C-4412-9C6E-5E85F6AF209B}">
      <dgm:prSet/>
      <dgm:spPr/>
      <dgm:t>
        <a:bodyPr/>
        <a:lstStyle/>
        <a:p>
          <a:endParaRPr lang="en-US"/>
        </a:p>
      </dgm:t>
    </dgm:pt>
    <dgm:pt modelId="{0FA04AED-DF44-4C3D-B5CF-B98976412475}" type="sibTrans" cxnId="{FA6341E4-BB3C-4412-9C6E-5E85F6AF209B}">
      <dgm:prSet/>
      <dgm:spPr/>
      <dgm:t>
        <a:bodyPr/>
        <a:lstStyle/>
        <a:p>
          <a:endParaRPr lang="en-US"/>
        </a:p>
      </dgm:t>
    </dgm:pt>
    <dgm:pt modelId="{C6B19A4C-3C5A-46E7-827B-CDD368AB67A6}">
      <dgm:prSet phldrT="[Text]"/>
      <dgm:spPr>
        <a:blipFill rotWithShape="0">
          <a:blip xmlns:r="http://schemas.openxmlformats.org/officeDocument/2006/relationships" r:embed="rId13" cstate="print"/>
          <a:srcRect/>
          <a:stretch>
            <a:fillRect t="-2000" b="-2000"/>
          </a:stretch>
        </a:blipFill>
      </dgm:spPr>
      <dgm:t>
        <a:bodyPr/>
        <a:lstStyle/>
        <a:p>
          <a:endParaRPr lang="en-US"/>
        </a:p>
      </dgm:t>
      <dgm:extLst>
        <a:ext uri="{E40237B7-FDA0-4F09-8148-C483321AD2D9}">
          <dgm14:cNvPr xmlns:dgm14="http://schemas.microsoft.com/office/drawing/2010/diagram" id="0" name="">
            <a:hlinkClick xmlns:r="http://schemas.openxmlformats.org/officeDocument/2006/relationships" r:id="rId14" tooltip="Site &amp; Environment"/>
          </dgm14:cNvPr>
        </a:ext>
      </dgm:extLst>
    </dgm:pt>
    <dgm:pt modelId="{EBD12E9F-1F1D-4566-8D1C-E5EAD1C32E56}" type="parTrans" cxnId="{51505AF0-410C-4E96-92F1-6008E4B512F9}">
      <dgm:prSet/>
      <dgm:spPr/>
      <dgm:t>
        <a:bodyPr/>
        <a:lstStyle/>
        <a:p>
          <a:endParaRPr lang="en-US"/>
        </a:p>
      </dgm:t>
    </dgm:pt>
    <dgm:pt modelId="{518BD37C-7964-4E62-8BE9-4C35C9DAB109}" type="sibTrans" cxnId="{51505AF0-410C-4E96-92F1-6008E4B512F9}">
      <dgm:prSet/>
      <dgm:spPr/>
      <dgm:t>
        <a:bodyPr/>
        <a:lstStyle/>
        <a:p>
          <a:endParaRPr lang="en-US"/>
        </a:p>
      </dgm:t>
    </dgm:pt>
    <dgm:pt modelId="{E8450635-3601-4A06-BB1D-5BB1223EE578}" type="pres">
      <dgm:prSet presAssocID="{65AF6EE8-0C43-4FC3-A266-A5F8338CDCDB}" presName="composite" presStyleCnt="0">
        <dgm:presLayoutVars>
          <dgm:chMax val="1"/>
          <dgm:dir/>
          <dgm:resizeHandles val="exact"/>
        </dgm:presLayoutVars>
      </dgm:prSet>
      <dgm:spPr/>
    </dgm:pt>
    <dgm:pt modelId="{59F30AA4-994C-4867-8378-19F2FD953AB8}" type="pres">
      <dgm:prSet presAssocID="{65AF6EE8-0C43-4FC3-A266-A5F8338CDCDB}" presName="radial" presStyleCnt="0">
        <dgm:presLayoutVars>
          <dgm:animLvl val="ctr"/>
        </dgm:presLayoutVars>
      </dgm:prSet>
      <dgm:spPr/>
    </dgm:pt>
    <dgm:pt modelId="{873B9973-53C0-4593-9945-2A930074D843}" type="pres">
      <dgm:prSet presAssocID="{4DD11E8D-E9E8-44E3-A7F0-19D0B9B49712}" presName="centerShape" presStyleLbl="vennNode1" presStyleIdx="0" presStyleCnt="8"/>
      <dgm:spPr/>
    </dgm:pt>
    <dgm:pt modelId="{E1D1BD3B-BB7D-45FF-9AE3-F46D30471E21}" type="pres">
      <dgm:prSet presAssocID="{F75E78FF-47DE-4AEE-9F0F-BC0B9E633FDA}" presName="node" presStyleLbl="vennNode1" presStyleIdx="1" presStyleCnt="8" custScaleY="103214" custRadScaleRad="100859">
        <dgm:presLayoutVars>
          <dgm:bulletEnabled val="1"/>
        </dgm:presLayoutVars>
      </dgm:prSet>
      <dgm:spPr/>
    </dgm:pt>
    <dgm:pt modelId="{FAB70E94-4DFB-417E-A717-0211B2E8AECE}" type="pres">
      <dgm:prSet presAssocID="{B4E83715-8EAB-4103-8DE6-DF5CC60E224B}" presName="node" presStyleLbl="vennNode1" presStyleIdx="2" presStyleCnt="8" custScaleY="103214" custRadScaleRad="101869" custRadScaleInc="-230">
        <dgm:presLayoutVars>
          <dgm:bulletEnabled val="1"/>
        </dgm:presLayoutVars>
      </dgm:prSet>
      <dgm:spPr/>
    </dgm:pt>
    <dgm:pt modelId="{D0570713-BBE1-4E72-86F6-122F7D9DD5C5}" type="pres">
      <dgm:prSet presAssocID="{264A4ECE-92F1-4063-A1D6-BE77F6067954}" presName="node" presStyleLbl="vennNode1" presStyleIdx="3" presStyleCnt="8" custScaleY="103214" custRadScaleRad="104236" custRadScaleInc="-1616">
        <dgm:presLayoutVars>
          <dgm:bulletEnabled val="1"/>
        </dgm:presLayoutVars>
      </dgm:prSet>
      <dgm:spPr/>
    </dgm:pt>
    <dgm:pt modelId="{BB362F9B-B206-4BE4-A7B0-C12B4FBE1FB6}" type="pres">
      <dgm:prSet presAssocID="{0AE063DC-1E87-4144-ACD6-3DD633052DC0}" presName="node" presStyleLbl="vennNode1" presStyleIdx="4" presStyleCnt="8" custScaleY="103214" custRadScaleRad="101948" custRadScaleInc="-2211">
        <dgm:presLayoutVars>
          <dgm:bulletEnabled val="1"/>
        </dgm:presLayoutVars>
      </dgm:prSet>
      <dgm:spPr/>
    </dgm:pt>
    <dgm:pt modelId="{E1B08411-02FE-45DF-B103-26E1FB3B6067}" type="pres">
      <dgm:prSet presAssocID="{C6B19A4C-3C5A-46E7-827B-CDD368AB67A6}" presName="node" presStyleLbl="vennNode1" presStyleIdx="5" presStyleCnt="8" custScaleY="103214" custRadScaleRad="100465" custRadScaleInc="571">
        <dgm:presLayoutVars>
          <dgm:bulletEnabled val="1"/>
        </dgm:presLayoutVars>
      </dgm:prSet>
      <dgm:spPr/>
    </dgm:pt>
    <dgm:pt modelId="{481B050D-2195-4675-8483-A66957239C57}" type="pres">
      <dgm:prSet presAssocID="{4BD854B7-9515-4294-B509-7D95FBE285D1}" presName="node" presStyleLbl="vennNode1" presStyleIdx="6" presStyleCnt="8" custScaleY="103214" custRadScaleRad="102740" custRadScaleInc="-60">
        <dgm:presLayoutVars>
          <dgm:bulletEnabled val="1"/>
        </dgm:presLayoutVars>
      </dgm:prSet>
      <dgm:spPr/>
    </dgm:pt>
    <dgm:pt modelId="{4DD6B148-C25C-463D-A516-906BA6BA11D8}" type="pres">
      <dgm:prSet presAssocID="{CE8A09E0-1AE8-4099-B959-4F8B7F07BB01}" presName="node" presStyleLbl="vennNode1" presStyleIdx="7" presStyleCnt="8" custScaleY="103214" custRadScaleRad="102286" custRadScaleInc="795">
        <dgm:presLayoutVars>
          <dgm:bulletEnabled val="1"/>
        </dgm:presLayoutVars>
      </dgm:prSet>
      <dgm:spPr/>
    </dgm:pt>
  </dgm:ptLst>
  <dgm:cxnLst>
    <dgm:cxn modelId="{D712BA14-DB30-4262-B618-3B29B8F04ABA}" type="presOf" srcId="{F75E78FF-47DE-4AEE-9F0F-BC0B9E633FDA}" destId="{E1D1BD3B-BB7D-45FF-9AE3-F46D30471E21}" srcOrd="0" destOrd="0" presId="urn:microsoft.com/office/officeart/2005/8/layout/radial3"/>
    <dgm:cxn modelId="{DEEE9A35-DE96-4261-9A4A-C9FA444012EB}" srcId="{4DD11E8D-E9E8-44E3-A7F0-19D0B9B49712}" destId="{CE8A09E0-1AE8-4099-B959-4F8B7F07BB01}" srcOrd="6" destOrd="0" parTransId="{87862EC5-C5B2-464F-9114-3325CC3F4164}" sibTransId="{D17236A9-6BE9-4468-9FE7-B900E8B9EC65}"/>
    <dgm:cxn modelId="{87ADD138-3FDE-46B3-BE38-BAC87EB4A9C4}" type="presOf" srcId="{B4E83715-8EAB-4103-8DE6-DF5CC60E224B}" destId="{FAB70E94-4DFB-417E-A717-0211B2E8AECE}" srcOrd="0" destOrd="0" presId="urn:microsoft.com/office/officeart/2005/8/layout/radial3"/>
    <dgm:cxn modelId="{1D71723E-F132-40C8-9F3F-1DBA3ECF1775}" srcId="{4DD11E8D-E9E8-44E3-A7F0-19D0B9B49712}" destId="{264A4ECE-92F1-4063-A1D6-BE77F6067954}" srcOrd="2" destOrd="0" parTransId="{FBE09C05-8346-4AE4-94FC-6330FC02F45A}" sibTransId="{6A8FA5C2-F630-40C6-BFD7-08DCF4CA36AB}"/>
    <dgm:cxn modelId="{9A620F61-BC18-4DE5-AF23-388AF27C4A15}" type="presOf" srcId="{264A4ECE-92F1-4063-A1D6-BE77F6067954}" destId="{D0570713-BBE1-4E72-86F6-122F7D9DD5C5}" srcOrd="0" destOrd="0" presId="urn:microsoft.com/office/officeart/2005/8/layout/radial3"/>
    <dgm:cxn modelId="{85DD3045-946B-4BC7-93AF-EFDB431A2D4C}" type="presOf" srcId="{4BD854B7-9515-4294-B509-7D95FBE285D1}" destId="{481B050D-2195-4675-8483-A66957239C57}" srcOrd="0" destOrd="0" presId="urn:microsoft.com/office/officeart/2005/8/layout/radial3"/>
    <dgm:cxn modelId="{E3DDDC69-5354-4ECD-9D59-854142ADF9EE}" type="presOf" srcId="{0AE063DC-1E87-4144-ACD6-3DD633052DC0}" destId="{BB362F9B-B206-4BE4-A7B0-C12B4FBE1FB6}" srcOrd="0" destOrd="0" presId="urn:microsoft.com/office/officeart/2005/8/layout/radial3"/>
    <dgm:cxn modelId="{EFCCAE56-6BC2-44E2-B6B2-8F42DCB15AA7}" srcId="{4DD11E8D-E9E8-44E3-A7F0-19D0B9B49712}" destId="{4BD854B7-9515-4294-B509-7D95FBE285D1}" srcOrd="5" destOrd="0" parTransId="{FBD92801-F13F-47F4-8E52-DF69FD6C01AC}" sibTransId="{B17F4E85-E1FB-44F2-835F-67685DDD2723}"/>
    <dgm:cxn modelId="{B161E07F-4CE3-469F-9D1E-209DF8E927A9}" type="presOf" srcId="{CE8A09E0-1AE8-4099-B959-4F8B7F07BB01}" destId="{4DD6B148-C25C-463D-A516-906BA6BA11D8}" srcOrd="0" destOrd="0" presId="urn:microsoft.com/office/officeart/2005/8/layout/radial3"/>
    <dgm:cxn modelId="{5C3CBEA1-1674-4D4E-ADD2-C05C6648487E}" srcId="{65AF6EE8-0C43-4FC3-A266-A5F8338CDCDB}" destId="{4DD11E8D-E9E8-44E3-A7F0-19D0B9B49712}" srcOrd="0" destOrd="0" parTransId="{E965CF15-D59C-44EF-80EE-7C2FF9A739D7}" sibTransId="{E96464BA-12B4-444E-B5CD-5F1D9A06BD33}"/>
    <dgm:cxn modelId="{400A72A6-C9D1-4A75-8E59-1292A4E9DFE0}" type="presOf" srcId="{4DD11E8D-E9E8-44E3-A7F0-19D0B9B49712}" destId="{873B9973-53C0-4593-9945-2A930074D843}" srcOrd="0" destOrd="0" presId="urn:microsoft.com/office/officeart/2005/8/layout/radial3"/>
    <dgm:cxn modelId="{7D1EC1B5-04EB-45F2-B322-FBAB1568F1B7}" type="presOf" srcId="{65AF6EE8-0C43-4FC3-A266-A5F8338CDCDB}" destId="{E8450635-3601-4A06-BB1D-5BB1223EE578}" srcOrd="0" destOrd="0" presId="urn:microsoft.com/office/officeart/2005/8/layout/radial3"/>
    <dgm:cxn modelId="{698434C0-F08B-4522-8E95-499CEE4E32E4}" srcId="{4DD11E8D-E9E8-44E3-A7F0-19D0B9B49712}" destId="{B4E83715-8EAB-4103-8DE6-DF5CC60E224B}" srcOrd="1" destOrd="0" parTransId="{EAE10853-2002-4B7B-9FBB-8F16E4AE97C8}" sibTransId="{6455CAB7-3DF6-4A64-9C51-A049CE701F9E}"/>
    <dgm:cxn modelId="{FA6341E4-BB3C-4412-9C6E-5E85F6AF209B}" srcId="{4DD11E8D-E9E8-44E3-A7F0-19D0B9B49712}" destId="{0AE063DC-1E87-4144-ACD6-3DD633052DC0}" srcOrd="3" destOrd="0" parTransId="{1ED36D6C-E160-4C68-92AC-6153AAC0D714}" sibTransId="{0FA04AED-DF44-4C3D-B5CF-B98976412475}"/>
    <dgm:cxn modelId="{5A6568E4-F234-42D5-88D2-55CD73222D2F}" srcId="{4DD11E8D-E9E8-44E3-A7F0-19D0B9B49712}" destId="{F75E78FF-47DE-4AEE-9F0F-BC0B9E633FDA}" srcOrd="0" destOrd="0" parTransId="{31C93617-6131-4B8A-94AF-DA21347500C5}" sibTransId="{67BB1357-259F-4899-96D2-9282D6FBCFE1}"/>
    <dgm:cxn modelId="{51505AF0-410C-4E96-92F1-6008E4B512F9}" srcId="{4DD11E8D-E9E8-44E3-A7F0-19D0B9B49712}" destId="{C6B19A4C-3C5A-46E7-827B-CDD368AB67A6}" srcOrd="4" destOrd="0" parTransId="{EBD12E9F-1F1D-4566-8D1C-E5EAD1C32E56}" sibTransId="{518BD37C-7964-4E62-8BE9-4C35C9DAB109}"/>
    <dgm:cxn modelId="{5B9A83FE-2CAB-45DA-A3FD-71198DE60424}" type="presOf" srcId="{C6B19A4C-3C5A-46E7-827B-CDD368AB67A6}" destId="{E1B08411-02FE-45DF-B103-26E1FB3B6067}" srcOrd="0" destOrd="0" presId="urn:microsoft.com/office/officeart/2005/8/layout/radial3"/>
    <dgm:cxn modelId="{1B457B07-3C67-4D2F-B9C3-057B4CA7945E}" type="presParOf" srcId="{E8450635-3601-4A06-BB1D-5BB1223EE578}" destId="{59F30AA4-994C-4867-8378-19F2FD953AB8}" srcOrd="0" destOrd="0" presId="urn:microsoft.com/office/officeart/2005/8/layout/radial3"/>
    <dgm:cxn modelId="{00D4E783-BF44-48D6-81BF-6AFBECB81235}" type="presParOf" srcId="{59F30AA4-994C-4867-8378-19F2FD953AB8}" destId="{873B9973-53C0-4593-9945-2A930074D843}" srcOrd="0" destOrd="0" presId="urn:microsoft.com/office/officeart/2005/8/layout/radial3"/>
    <dgm:cxn modelId="{BFDC6E6D-E06C-4962-9E71-784F772B094E}" type="presParOf" srcId="{59F30AA4-994C-4867-8378-19F2FD953AB8}" destId="{E1D1BD3B-BB7D-45FF-9AE3-F46D30471E21}" srcOrd="1" destOrd="0" presId="urn:microsoft.com/office/officeart/2005/8/layout/radial3"/>
    <dgm:cxn modelId="{DFF45ED4-55B7-429F-9FF6-974E2507D24E}" type="presParOf" srcId="{59F30AA4-994C-4867-8378-19F2FD953AB8}" destId="{FAB70E94-4DFB-417E-A717-0211B2E8AECE}" srcOrd="2" destOrd="0" presId="urn:microsoft.com/office/officeart/2005/8/layout/radial3"/>
    <dgm:cxn modelId="{745894AF-872A-4A9C-B68D-1F2301163BF4}" type="presParOf" srcId="{59F30AA4-994C-4867-8378-19F2FD953AB8}" destId="{D0570713-BBE1-4E72-86F6-122F7D9DD5C5}" srcOrd="3" destOrd="0" presId="urn:microsoft.com/office/officeart/2005/8/layout/radial3"/>
    <dgm:cxn modelId="{8354D677-95F2-448F-BEF9-0B37DD555DE7}" type="presParOf" srcId="{59F30AA4-994C-4867-8378-19F2FD953AB8}" destId="{BB362F9B-B206-4BE4-A7B0-C12B4FBE1FB6}" srcOrd="4" destOrd="0" presId="urn:microsoft.com/office/officeart/2005/8/layout/radial3"/>
    <dgm:cxn modelId="{928248C1-4FA8-4D94-9F3E-ED0C0AEDFF41}" type="presParOf" srcId="{59F30AA4-994C-4867-8378-19F2FD953AB8}" destId="{E1B08411-02FE-45DF-B103-26E1FB3B6067}" srcOrd="5" destOrd="0" presId="urn:microsoft.com/office/officeart/2005/8/layout/radial3"/>
    <dgm:cxn modelId="{E7E4438F-BAD3-4B4F-873B-AA0C6E2512DB}" type="presParOf" srcId="{59F30AA4-994C-4867-8378-19F2FD953AB8}" destId="{481B050D-2195-4675-8483-A66957239C57}" srcOrd="6" destOrd="0" presId="urn:microsoft.com/office/officeart/2005/8/layout/radial3"/>
    <dgm:cxn modelId="{6D5A0042-9D04-48E0-8C95-97ADABC144E5}" type="presParOf" srcId="{59F30AA4-994C-4867-8378-19F2FD953AB8}" destId="{4DD6B148-C25C-463D-A516-906BA6BA11D8}" srcOrd="7" destOrd="0" presId="urn:microsoft.com/office/officeart/2005/8/layout/radial3"/>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73B9973-53C0-4593-9945-2A930074D843}">
      <dsp:nvSpPr>
        <dsp:cNvPr id="0" name=""/>
        <dsp:cNvSpPr/>
      </dsp:nvSpPr>
      <dsp:spPr>
        <a:xfrm>
          <a:off x="1327699" y="1020749"/>
          <a:ext cx="2441531" cy="2441531"/>
        </a:xfrm>
        <a:prstGeom prst="ellipse">
          <a:avLst/>
        </a:prstGeom>
        <a:solidFill>
          <a:srgbClr val="984806">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46990" tIns="46990" rIns="46990" bIns="46990" numCol="1" spcCol="1270" anchor="ctr" anchorCtr="0">
          <a:noAutofit/>
        </a:bodyPr>
        <a:lstStyle/>
        <a:p>
          <a:pPr marL="0" lvl="0" indent="0" algn="ctr" defTabSz="1644650">
            <a:lnSpc>
              <a:spcPct val="90000"/>
            </a:lnSpc>
            <a:spcBef>
              <a:spcPct val="0"/>
            </a:spcBef>
            <a:spcAft>
              <a:spcPct val="35000"/>
            </a:spcAft>
            <a:buNone/>
          </a:pPr>
          <a:r>
            <a:rPr lang="en-US" sz="3700" kern="1200">
              <a:solidFill>
                <a:schemeClr val="bg1"/>
              </a:solidFill>
              <a:latin typeface="+mn-lt"/>
            </a:rPr>
            <a:t>LOTUS Small</a:t>
          </a:r>
          <a:r>
            <a:rPr lang="en-US" sz="3700" kern="1200" baseline="-25000">
              <a:solidFill>
                <a:schemeClr val="bg1"/>
              </a:solidFill>
              <a:latin typeface="+mn-lt"/>
            </a:rPr>
            <a:t> </a:t>
          </a:r>
          <a:r>
            <a:rPr lang="en-US" sz="3700" kern="1200">
              <a:solidFill>
                <a:schemeClr val="bg1"/>
              </a:solidFill>
              <a:latin typeface="+mn-lt"/>
            </a:rPr>
            <a:t>Interiors</a:t>
          </a:r>
          <a:endParaRPr lang="en-US" sz="3700" kern="1200"/>
        </a:p>
      </dsp:txBody>
      <dsp:txXfrm>
        <a:off x="1685253" y="1378303"/>
        <a:ext cx="1726423" cy="1726423"/>
      </dsp:txXfrm>
    </dsp:sp>
    <dsp:sp modelId="{E1D1BD3B-BB7D-45FF-9AE3-F46D30471E21}">
      <dsp:nvSpPr>
        <dsp:cNvPr id="0" name=""/>
        <dsp:cNvSpPr/>
      </dsp:nvSpPr>
      <dsp:spPr>
        <a:xfrm>
          <a:off x="1938082" y="6952"/>
          <a:ext cx="1220765" cy="1260001"/>
        </a:xfrm>
        <a:prstGeom prst="ellipse">
          <a:avLst/>
        </a:prstGeom>
        <a:blipFill rotWithShape="0">
          <a:blip xmlns:r="http://schemas.openxmlformats.org/officeDocument/2006/relationships" r:embed="rId1"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kern="1200">
              <a:solidFill>
                <a:schemeClr val="bg1"/>
              </a:solidFill>
            </a:rPr>
            <a:t>.</a:t>
          </a:r>
        </a:p>
      </dsp:txBody>
      <dsp:txXfrm>
        <a:off x="2116859" y="191475"/>
        <a:ext cx="863211" cy="890955"/>
      </dsp:txXfrm>
    </dsp:sp>
    <dsp:sp modelId="{FAB70E94-4DFB-417E-A717-0211B2E8AECE}">
      <dsp:nvSpPr>
        <dsp:cNvPr id="0" name=""/>
        <dsp:cNvSpPr/>
      </dsp:nvSpPr>
      <dsp:spPr>
        <a:xfrm>
          <a:off x="3203053" y="598454"/>
          <a:ext cx="1220765" cy="1260001"/>
        </a:xfrm>
        <a:prstGeom prst="ellipse">
          <a:avLst/>
        </a:prstGeom>
        <a:blipFill rotWithShape="0">
          <a:blip xmlns:r="http://schemas.openxmlformats.org/officeDocument/2006/relationships" r:embed="rId2"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kern="1200">
              <a:solidFill>
                <a:schemeClr val="bg1"/>
              </a:solidFill>
            </a:rPr>
            <a:t>.</a:t>
          </a:r>
        </a:p>
      </dsp:txBody>
      <dsp:txXfrm>
        <a:off x="3381830" y="782977"/>
        <a:ext cx="863211" cy="890955"/>
      </dsp:txXfrm>
    </dsp:sp>
    <dsp:sp modelId="{D0570713-BBE1-4E72-86F6-122F7D9DD5C5}">
      <dsp:nvSpPr>
        <dsp:cNvPr id="0" name=""/>
        <dsp:cNvSpPr/>
      </dsp:nvSpPr>
      <dsp:spPr>
        <a:xfrm>
          <a:off x="3559974" y="1957029"/>
          <a:ext cx="1220765" cy="1260001"/>
        </a:xfrm>
        <a:prstGeom prst="ellipse">
          <a:avLst/>
        </a:prstGeom>
        <a:blipFill rotWithShape="0">
          <a:blip xmlns:r="http://schemas.openxmlformats.org/officeDocument/2006/relationships" r:embed="rId3"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kern="1200">
              <a:solidFill>
                <a:schemeClr val="bg1"/>
              </a:solidFill>
            </a:rPr>
            <a:t>.</a:t>
          </a:r>
        </a:p>
      </dsp:txBody>
      <dsp:txXfrm>
        <a:off x="3738751" y="2141552"/>
        <a:ext cx="863211" cy="890955"/>
      </dsp:txXfrm>
    </dsp:sp>
    <dsp:sp modelId="{BB362F9B-B206-4BE4-A7B0-C12B4FBE1FB6}">
      <dsp:nvSpPr>
        <dsp:cNvPr id="0" name=""/>
        <dsp:cNvSpPr/>
      </dsp:nvSpPr>
      <dsp:spPr>
        <a:xfrm>
          <a:off x="2670652" y="3058531"/>
          <a:ext cx="1220765" cy="1260001"/>
        </a:xfrm>
        <a:prstGeom prst="ellipse">
          <a:avLst/>
        </a:prstGeom>
        <a:blipFill rotWithShape="0">
          <a:blip xmlns:r="http://schemas.openxmlformats.org/officeDocument/2006/relationships" r:embed="rId4"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68580" tIns="68580" rIns="68580" bIns="68580" numCol="1" spcCol="1270" anchor="ctr" anchorCtr="0">
          <a:noAutofit/>
        </a:bodyPr>
        <a:lstStyle/>
        <a:p>
          <a:pPr marL="0" lvl="0" indent="0" algn="ctr" defTabSz="2400300">
            <a:lnSpc>
              <a:spcPct val="90000"/>
            </a:lnSpc>
            <a:spcBef>
              <a:spcPct val="0"/>
            </a:spcBef>
            <a:spcAft>
              <a:spcPct val="35000"/>
            </a:spcAft>
            <a:buNone/>
          </a:pPr>
          <a:endParaRPr lang="en-US" sz="5400" kern="1200"/>
        </a:p>
      </dsp:txBody>
      <dsp:txXfrm>
        <a:off x="2849429" y="3243054"/>
        <a:ext cx="863211" cy="890955"/>
      </dsp:txXfrm>
    </dsp:sp>
    <dsp:sp modelId="{E1B08411-02FE-45DF-B103-26E1FB3B6067}">
      <dsp:nvSpPr>
        <dsp:cNvPr id="0" name=""/>
        <dsp:cNvSpPr/>
      </dsp:nvSpPr>
      <dsp:spPr>
        <a:xfrm>
          <a:off x="1237237" y="3047954"/>
          <a:ext cx="1220765" cy="1260001"/>
        </a:xfrm>
        <a:prstGeom prst="ellipse">
          <a:avLst/>
        </a:prstGeom>
        <a:blipFill rotWithShape="0">
          <a:blip xmlns:r="http://schemas.openxmlformats.org/officeDocument/2006/relationships" r:embed="rId5" cstate="print"/>
          <a:srcRect/>
          <a:stretch>
            <a:fillRect t="-2000" b="-2000"/>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68580" tIns="68580" rIns="68580" bIns="68580" numCol="1" spcCol="1270" anchor="ctr" anchorCtr="0">
          <a:noAutofit/>
        </a:bodyPr>
        <a:lstStyle/>
        <a:p>
          <a:pPr marL="0" lvl="0" indent="0" algn="ctr" defTabSz="2400300">
            <a:lnSpc>
              <a:spcPct val="90000"/>
            </a:lnSpc>
            <a:spcBef>
              <a:spcPct val="0"/>
            </a:spcBef>
            <a:spcAft>
              <a:spcPct val="35000"/>
            </a:spcAft>
            <a:buNone/>
          </a:pPr>
          <a:endParaRPr lang="en-US" sz="5400" kern="1200"/>
        </a:p>
      </dsp:txBody>
      <dsp:txXfrm>
        <a:off x="1416014" y="3232477"/>
        <a:ext cx="863211" cy="890955"/>
      </dsp:txXfrm>
    </dsp:sp>
    <dsp:sp modelId="{481B050D-2195-4675-8483-A66957239C57}">
      <dsp:nvSpPr>
        <dsp:cNvPr id="0" name=""/>
        <dsp:cNvSpPr/>
      </dsp:nvSpPr>
      <dsp:spPr>
        <a:xfrm>
          <a:off x="344772" y="1976080"/>
          <a:ext cx="1220765" cy="1260001"/>
        </a:xfrm>
        <a:prstGeom prst="ellipse">
          <a:avLst/>
        </a:prstGeom>
        <a:blipFill rotWithShape="0">
          <a:blip xmlns:r="http://schemas.openxmlformats.org/officeDocument/2006/relationships" r:embed="rId6"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68580" tIns="68580" rIns="68580" bIns="68580" numCol="1" spcCol="1270" anchor="ctr" anchorCtr="0">
          <a:noAutofit/>
        </a:bodyPr>
        <a:lstStyle/>
        <a:p>
          <a:pPr marL="0" lvl="0" indent="0" algn="ctr" defTabSz="2400300">
            <a:lnSpc>
              <a:spcPct val="90000"/>
            </a:lnSpc>
            <a:spcBef>
              <a:spcPct val="0"/>
            </a:spcBef>
            <a:spcAft>
              <a:spcPct val="35000"/>
            </a:spcAft>
            <a:buNone/>
          </a:pPr>
          <a:endParaRPr lang="en-US" sz="5400" kern="1200"/>
        </a:p>
      </dsp:txBody>
      <dsp:txXfrm>
        <a:off x="523549" y="2160603"/>
        <a:ext cx="863211" cy="890955"/>
      </dsp:txXfrm>
    </dsp:sp>
    <dsp:sp modelId="{4DD6B148-C25C-463D-A516-906BA6BA11D8}">
      <dsp:nvSpPr>
        <dsp:cNvPr id="0" name=""/>
        <dsp:cNvSpPr/>
      </dsp:nvSpPr>
      <dsp:spPr>
        <a:xfrm>
          <a:off x="673108" y="587879"/>
          <a:ext cx="1220765" cy="1260001"/>
        </a:xfrm>
        <a:prstGeom prst="ellipse">
          <a:avLst/>
        </a:prstGeom>
        <a:blipFill rotWithShape="0">
          <a:blip xmlns:r="http://schemas.openxmlformats.org/officeDocument/2006/relationships" r:embed="rId7" cstate="print"/>
          <a:srcRect/>
          <a:stretch>
            <a:fillRect/>
          </a:stretch>
        </a:blip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kern="1200">
              <a:solidFill>
                <a:schemeClr val="bg1"/>
              </a:solidFill>
            </a:rPr>
            <a:t>.</a:t>
          </a:r>
        </a:p>
      </dsp:txBody>
      <dsp:txXfrm>
        <a:off x="851885" y="772402"/>
        <a:ext cx="863211" cy="890955"/>
      </dsp:txXfrm>
    </dsp:sp>
  </dsp:spTree>
</dsp:drawing>
</file>

<file path=xl/diagrams/layout1.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Project information'!A1"/><Relationship Id="rId3" Type="http://schemas.openxmlformats.org/officeDocument/2006/relationships/hyperlink" Target="http://vgbc.vn/" TargetMode="External"/><Relationship Id="rId7" Type="http://schemas.openxmlformats.org/officeDocument/2006/relationships/hyperlink" Target="#'LOTUS SI Scorecard'!V5"/><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hyperlink" Target="#Recommendations!N4"/><Relationship Id="rId5" Type="http://schemas.openxmlformats.org/officeDocument/2006/relationships/hyperlink" Target="#Introduction!N3"/><Relationship Id="rId10" Type="http://schemas.openxmlformats.org/officeDocument/2006/relationships/hyperlink" Target="#Instructions!N4"/><Relationship Id="rId4" Type="http://schemas.openxmlformats.org/officeDocument/2006/relationships/image" Target="../media/image2.jpeg"/><Relationship Id="rId9" Type="http://schemas.openxmlformats.org/officeDocument/2006/relationships/hyperlink" Target="#Glossary!A1"/></Relationships>
</file>

<file path=xl/drawings/_rels/drawing10.xml.rels><?xml version="1.0" encoding="UTF-8" standalone="yes"?>
<Relationships xmlns="http://schemas.openxmlformats.org/package/2006/relationships"><Relationship Id="rId3" Type="http://schemas.openxmlformats.org/officeDocument/2006/relationships/hyperlink" Target="#'LOTUS Interiors Scorecard'!J2"/><Relationship Id="rId2" Type="http://schemas.openxmlformats.org/officeDocument/2006/relationships/image" Target="../media/image14.png"/><Relationship Id="rId1" Type="http://schemas.openxmlformats.org/officeDocument/2006/relationships/hyperlink" Target="#Glossary!A39:Q57"/><Relationship Id="rId5" Type="http://schemas.openxmlformats.org/officeDocument/2006/relationships/hyperlink" Target="#Introduction!N3"/><Relationship Id="rId4" Type="http://schemas.openxmlformats.org/officeDocument/2006/relationships/hyperlink" Target="#Instructions!N4"/></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N4"/><Relationship Id="rId2" Type="http://schemas.openxmlformats.org/officeDocument/2006/relationships/hyperlink" Target="#'LOTUS SI Scorecard'!V5"/><Relationship Id="rId1" Type="http://schemas.openxmlformats.org/officeDocument/2006/relationships/hyperlink" Target="#Glossary!A38:A60"/><Relationship Id="rId5" Type="http://schemas.openxmlformats.org/officeDocument/2006/relationships/image" Target="../media/image10.png"/><Relationship Id="rId4" Type="http://schemas.openxmlformats.org/officeDocument/2006/relationships/hyperlink" Target="#Introduction!N3"/></Relationships>
</file>

<file path=xl/drawings/_rels/drawing12.xml.rels><?xml version="1.0" encoding="UTF-8" standalone="yes"?>
<Relationships xmlns="http://schemas.openxmlformats.org/package/2006/relationships"><Relationship Id="rId8" Type="http://schemas.openxmlformats.org/officeDocument/2006/relationships/diagramColors" Target="../diagrams/colors1.xml"/><Relationship Id="rId3" Type="http://schemas.openxmlformats.org/officeDocument/2006/relationships/hyperlink" Target="http://vgbc.org.vn/" TargetMode="External"/><Relationship Id="rId7" Type="http://schemas.openxmlformats.org/officeDocument/2006/relationships/diagramQuickStyle" Target="../diagrams/quickStyle1.xml"/><Relationship Id="rId2" Type="http://schemas.openxmlformats.org/officeDocument/2006/relationships/hyperlink" Target="#Introduction!N3"/><Relationship Id="rId1" Type="http://schemas.openxmlformats.org/officeDocument/2006/relationships/hyperlink" Target="#Instructions!N4"/><Relationship Id="rId6" Type="http://schemas.openxmlformats.org/officeDocument/2006/relationships/diagramLayout" Target="../diagrams/layout1.xml"/><Relationship Id="rId5" Type="http://schemas.openxmlformats.org/officeDocument/2006/relationships/diagramData" Target="../diagrams/data1.xml"/><Relationship Id="rId10" Type="http://schemas.openxmlformats.org/officeDocument/2006/relationships/hyperlink" Target="#'Graphical Results'!A1"/><Relationship Id="rId4" Type="http://schemas.openxmlformats.org/officeDocument/2006/relationships/image" Target="../media/image2.jpeg"/><Relationship Id="rId9" Type="http://schemas.microsoft.com/office/2007/relationships/diagramDrawing" Target="../diagrams/drawing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troduction!N3"/><Relationship Id="rId5" Type="http://schemas.openxmlformats.org/officeDocument/2006/relationships/hyperlink" Target="#Instructions!N4"/><Relationship Id="rId4" Type="http://schemas.openxmlformats.org/officeDocument/2006/relationships/hyperlink" Target="#'LOTUS SI Scorecard'!V5"/></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LOTUS SI Scorecard'!V5"/></Relationships>
</file>

<file path=xl/drawings/_rels/drawing1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E-1 Space cooling'!A9:K9"/><Relationship Id="rId18" Type="http://schemas.openxmlformats.org/officeDocument/2006/relationships/hyperlink" Target="#'E-1 Space cooling'!A140:A178"/><Relationship Id="rId3" Type="http://schemas.openxmlformats.org/officeDocument/2006/relationships/hyperlink" Target="#Energy!K2"/><Relationship Id="rId21" Type="http://schemas.openxmlformats.org/officeDocument/2006/relationships/image" Target="../media/image30.png"/><Relationship Id="rId7" Type="http://schemas.openxmlformats.org/officeDocument/2006/relationships/hyperlink" Target="#'E-1 Space cooling'!A397:K470"/><Relationship Id="rId12" Type="http://schemas.openxmlformats.org/officeDocument/2006/relationships/image" Target="../media/image26.png"/><Relationship Id="rId17" Type="http://schemas.openxmlformats.org/officeDocument/2006/relationships/image" Target="../media/image28.png"/><Relationship Id="rId2" Type="http://schemas.openxmlformats.org/officeDocument/2006/relationships/hyperlink" Target="#'E-1 Space cooling'!A136:N1278"/><Relationship Id="rId16" Type="http://schemas.openxmlformats.org/officeDocument/2006/relationships/hyperlink" Target="#'E-1 Space cooling'!A79:A135"/><Relationship Id="rId20" Type="http://schemas.openxmlformats.org/officeDocument/2006/relationships/image" Target="../media/image29.jpeg"/><Relationship Id="rId1" Type="http://schemas.openxmlformats.org/officeDocument/2006/relationships/hyperlink" Target="#'E-1 Space cooling'!A26:N135"/><Relationship Id="rId6" Type="http://schemas.openxmlformats.org/officeDocument/2006/relationships/hyperlink" Target="#'E-1 Space cooling'!A327:K396"/><Relationship Id="rId11" Type="http://schemas.openxmlformats.org/officeDocument/2006/relationships/image" Target="../media/image25.png"/><Relationship Id="rId5" Type="http://schemas.openxmlformats.org/officeDocument/2006/relationships/hyperlink" Target="#'E-1 Space cooling'!A279:N326"/><Relationship Id="rId15" Type="http://schemas.openxmlformats.org/officeDocument/2006/relationships/hyperlink" Target="#'E-1 Space cooling'!A30:A78"/><Relationship Id="rId23" Type="http://schemas.openxmlformats.org/officeDocument/2006/relationships/image" Target="../media/image32.png"/><Relationship Id="rId10" Type="http://schemas.openxmlformats.org/officeDocument/2006/relationships/image" Target="../media/image24.png"/><Relationship Id="rId19" Type="http://schemas.openxmlformats.org/officeDocument/2006/relationships/hyperlink" Target="#'E-1 Space cooling'!A179:A278"/><Relationship Id="rId4" Type="http://schemas.openxmlformats.org/officeDocument/2006/relationships/hyperlink" Target="#'LOTUS SI Scorecard'!V5"/><Relationship Id="rId9" Type="http://schemas.openxmlformats.org/officeDocument/2006/relationships/image" Target="../media/image23.png"/><Relationship Id="rId14" Type="http://schemas.openxmlformats.org/officeDocument/2006/relationships/image" Target="../media/image27.png"/><Relationship Id="rId22"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Resources!A115:Q200"/><Relationship Id="rId3" Type="http://schemas.openxmlformats.org/officeDocument/2006/relationships/hyperlink" Target="#'E-2 Artificial Lighting'!A20:K112"/><Relationship Id="rId7" Type="http://schemas.openxmlformats.org/officeDocument/2006/relationships/image" Target="../media/image34.png"/><Relationship Id="rId12" Type="http://schemas.openxmlformats.org/officeDocument/2006/relationships/image" Target="../media/image26.png"/><Relationship Id="rId2" Type="http://schemas.openxmlformats.org/officeDocument/2006/relationships/hyperlink" Target="#'LOTUS SI Scorecard'!V5"/><Relationship Id="rId1" Type="http://schemas.openxmlformats.org/officeDocument/2006/relationships/hyperlink" Target="#Energy!K2"/><Relationship Id="rId6" Type="http://schemas.openxmlformats.org/officeDocument/2006/relationships/image" Target="../media/image33.png"/><Relationship Id="rId11" Type="http://schemas.openxmlformats.org/officeDocument/2006/relationships/hyperlink" Target="#'E-2 Artificial Lighting'!A9:K9"/><Relationship Id="rId5" Type="http://schemas.openxmlformats.org/officeDocument/2006/relationships/hyperlink" Target="#'E-2 Artificial Lighting'!A171:K247"/><Relationship Id="rId10" Type="http://schemas.openxmlformats.org/officeDocument/2006/relationships/image" Target="../media/image22.png"/><Relationship Id="rId4" Type="http://schemas.openxmlformats.org/officeDocument/2006/relationships/hyperlink" Target="#'E-2 Artificial Lighting'!A113:K170"/><Relationship Id="rId9"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3 Energy Efficient Appliances'!A16:K73"/><Relationship Id="rId7" Type="http://schemas.openxmlformats.org/officeDocument/2006/relationships/image" Target="../media/image23.png"/><Relationship Id="rId2" Type="http://schemas.openxmlformats.org/officeDocument/2006/relationships/hyperlink" Target="#'LOTUS SI Scorecard'!V5"/><Relationship Id="rId1" Type="http://schemas.openxmlformats.org/officeDocument/2006/relationships/hyperlink" Target="#Energy!K2"/><Relationship Id="rId6" Type="http://schemas.openxmlformats.org/officeDocument/2006/relationships/image" Target="../media/image24.png"/><Relationship Id="rId11" Type="http://schemas.openxmlformats.org/officeDocument/2006/relationships/image" Target="../media/image25.png"/><Relationship Id="rId5" Type="http://schemas.openxmlformats.org/officeDocument/2006/relationships/image" Target="../media/image35.png"/><Relationship Id="rId10" Type="http://schemas.openxmlformats.org/officeDocument/2006/relationships/hyperlink" Target="#'E-3 Energy Efficient Appliances'!A9:K9"/><Relationship Id="rId4" Type="http://schemas.openxmlformats.org/officeDocument/2006/relationships/hyperlink" Target="#'E-3 Energy Efficient Appliances'!A74:K124"/><Relationship Id="rId9"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hyperlink" Target="#'E-4 Energy Monitor'!A9"/><Relationship Id="rId2" Type="http://schemas.openxmlformats.org/officeDocument/2006/relationships/hyperlink" Target="#'LOTUS SI Scorecard'!V5"/><Relationship Id="rId1" Type="http://schemas.openxmlformats.org/officeDocument/2006/relationships/hyperlink" Target="#Energy!K2"/><Relationship Id="rId6" Type="http://schemas.openxmlformats.org/officeDocument/2006/relationships/image" Target="../media/image28.png"/><Relationship Id="rId5" Type="http://schemas.openxmlformats.org/officeDocument/2006/relationships/image" Target="../media/image26.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V5"/></Relationships>
</file>

<file path=xl/drawings/_rels/drawing20.xml.rels><?xml version="1.0" encoding="UTF-8" standalone="yes"?>
<Relationships xmlns="http://schemas.openxmlformats.org/package/2006/relationships"><Relationship Id="rId3" Type="http://schemas.openxmlformats.org/officeDocument/2006/relationships/hyperlink" Target="#'Energy BPC'!A15:K45"/><Relationship Id="rId7" Type="http://schemas.openxmlformats.org/officeDocument/2006/relationships/hyperlink" Target="#'Energy BPC'!A8"/><Relationship Id="rId2" Type="http://schemas.openxmlformats.org/officeDocument/2006/relationships/hyperlink" Target="#'LOTUS SI Scorecard'!V5"/><Relationship Id="rId1" Type="http://schemas.openxmlformats.org/officeDocument/2006/relationships/hyperlink" Target="#Energy!K2"/><Relationship Id="rId6" Type="http://schemas.openxmlformats.org/officeDocument/2006/relationships/image" Target="../media/image23.png"/><Relationship Id="rId5" Type="http://schemas.openxmlformats.org/officeDocument/2006/relationships/image" Target="../media/image28.png"/><Relationship Id="rId4" Type="http://schemas.openxmlformats.org/officeDocument/2006/relationships/hyperlink" Target="#'Energy BPC'!A46:K94"/></Relationships>
</file>

<file path=xl/drawings/_rels/drawing21.xml.rels><?xml version="1.0" encoding="UTF-8" standalone="yes"?>
<Relationships xmlns="http://schemas.openxmlformats.org/package/2006/relationships"><Relationship Id="rId2" Type="http://schemas.openxmlformats.org/officeDocument/2006/relationships/hyperlink" Target="#'LOTUS SI Scorecard'!V5"/><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8" Type="http://schemas.openxmlformats.org/officeDocument/2006/relationships/hyperlink" Target="#'W-1 Water Efficient Fixtures'!A256:A318"/><Relationship Id="rId13" Type="http://schemas.openxmlformats.org/officeDocument/2006/relationships/hyperlink" Target="#Resources!A3:Q72"/><Relationship Id="rId18" Type="http://schemas.openxmlformats.org/officeDocument/2006/relationships/hyperlink" Target="#'W-1 Water Efficient Fixtures'!A103:A164"/><Relationship Id="rId3" Type="http://schemas.openxmlformats.org/officeDocument/2006/relationships/hyperlink" Target="#'W-1 Water Efficient Fixtures'!A34:A251"/><Relationship Id="rId7" Type="http://schemas.openxmlformats.org/officeDocument/2006/relationships/hyperlink" Target="#'W-1 Water Efficient Fixtures'!A199:A251"/><Relationship Id="rId12" Type="http://schemas.openxmlformats.org/officeDocument/2006/relationships/image" Target="../media/image39.png"/><Relationship Id="rId17" Type="http://schemas.openxmlformats.org/officeDocument/2006/relationships/hyperlink" Target="#'W-1 Water Efficient Fixtures'!A42:A102"/><Relationship Id="rId2" Type="http://schemas.openxmlformats.org/officeDocument/2006/relationships/hyperlink" Target="#'LOTUS SI Scorecard'!V5"/><Relationship Id="rId16" Type="http://schemas.openxmlformats.org/officeDocument/2006/relationships/hyperlink" Target="#'W-1 Water Efficient Fixtures'!A9"/><Relationship Id="rId1" Type="http://schemas.openxmlformats.org/officeDocument/2006/relationships/hyperlink" Target="#Water!K2"/><Relationship Id="rId6" Type="http://schemas.openxmlformats.org/officeDocument/2006/relationships/hyperlink" Target="#'W-1 Water Efficient Fixtures'!A165:A198"/><Relationship Id="rId11" Type="http://schemas.openxmlformats.org/officeDocument/2006/relationships/image" Target="../media/image38.png"/><Relationship Id="rId5" Type="http://schemas.openxmlformats.org/officeDocument/2006/relationships/hyperlink" Target="#'W-1 Water Efficient Fixtures'!A38:A164"/><Relationship Id="rId15" Type="http://schemas.openxmlformats.org/officeDocument/2006/relationships/hyperlink" Target="#'W-1 Water Efficient Fixtures'!A353:A405"/><Relationship Id="rId10" Type="http://schemas.openxmlformats.org/officeDocument/2006/relationships/image" Target="../media/image37.png"/><Relationship Id="rId19" Type="http://schemas.openxmlformats.org/officeDocument/2006/relationships/image" Target="../media/image41.png"/><Relationship Id="rId4" Type="http://schemas.openxmlformats.org/officeDocument/2006/relationships/hyperlink" Target="#'W-1 Water Efficient Fixtures'!A252:A405"/><Relationship Id="rId9" Type="http://schemas.openxmlformats.org/officeDocument/2006/relationships/hyperlink" Target="#'W-1 Water Efficient Fixtures'!A319:A352"/><Relationship Id="rId14"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hyperlink" Target="#'LOTUS SI Scorecard'!V5"/><Relationship Id="rId1" Type="http://schemas.openxmlformats.org/officeDocument/2006/relationships/hyperlink" Target="#Water!K2"/><Relationship Id="rId5" Type="http://schemas.openxmlformats.org/officeDocument/2006/relationships/hyperlink" Target="#'W-2 Drinking Water '!A9:K9"/><Relationship Id="rId4" Type="http://schemas.openxmlformats.org/officeDocument/2006/relationships/image" Target="../media/image37.png"/></Relationships>
</file>

<file path=xl/drawings/_rels/drawing24.xml.rels><?xml version="1.0" encoding="UTF-8" standalone="yes"?>
<Relationships xmlns="http://schemas.openxmlformats.org/package/2006/relationships"><Relationship Id="rId2" Type="http://schemas.openxmlformats.org/officeDocument/2006/relationships/hyperlink" Target="#'LOTUS SI Scorecard'!J2"/><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2" Type="http://schemas.openxmlformats.org/officeDocument/2006/relationships/hyperlink" Target="#'Materials &amp; Resources'!K2"/><Relationship Id="rId1" Type="http://schemas.openxmlformats.org/officeDocument/2006/relationships/hyperlink" Target="#'LOTUS SI Scorecard'!V5"/></Relationships>
</file>

<file path=xl/drawings/_rels/drawing26.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44.png"/><Relationship Id="rId2" Type="http://schemas.openxmlformats.org/officeDocument/2006/relationships/hyperlink" Target="#'Materials &amp; Resources'!K2"/><Relationship Id="rId1" Type="http://schemas.openxmlformats.org/officeDocument/2006/relationships/hyperlink" Target="#'LOTUS SI Scorecard'!V5"/><Relationship Id="rId6" Type="http://schemas.openxmlformats.org/officeDocument/2006/relationships/hyperlink" Target="#'Materials Glossary'!A1"/><Relationship Id="rId5" Type="http://schemas.openxmlformats.org/officeDocument/2006/relationships/hyperlink" Target="#'MR-1 Sustainable Materials'!A9"/><Relationship Id="rId4" Type="http://schemas.openxmlformats.org/officeDocument/2006/relationships/image" Target="../media/image4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hyperlink" Target="#'Materials &amp; Resources'!K2"/><Relationship Id="rId2" Type="http://schemas.openxmlformats.org/officeDocument/2006/relationships/image" Target="../media/image44.png"/><Relationship Id="rId1" Type="http://schemas.openxmlformats.org/officeDocument/2006/relationships/hyperlink" Target="#'LOTUS SI Scorecard'!V5"/><Relationship Id="rId6" Type="http://schemas.openxmlformats.org/officeDocument/2006/relationships/hyperlink" Target="#'Materials Glossary'!A1"/><Relationship Id="rId5" Type="http://schemas.openxmlformats.org/officeDocument/2006/relationships/hyperlink" Target="#'MR-2 Sustainable Furniture'!A9"/><Relationship Id="rId4" Type="http://schemas.openxmlformats.org/officeDocument/2006/relationships/image" Target="../media/image42.png"/></Relationships>
</file>

<file path=xl/drawings/_rels/drawing28.xml.rels><?xml version="1.0" encoding="UTF-8" standalone="yes"?>
<Relationships xmlns="http://schemas.openxmlformats.org/package/2006/relationships"><Relationship Id="rId3" Type="http://schemas.openxmlformats.org/officeDocument/2006/relationships/hyperlink" Target="#'MR-3 Fit-out Waste'!A9"/><Relationship Id="rId7" Type="http://schemas.openxmlformats.org/officeDocument/2006/relationships/image" Target="../media/image44.png"/><Relationship Id="rId2" Type="http://schemas.openxmlformats.org/officeDocument/2006/relationships/hyperlink" Target="#'MR-3 Fit-out Waste'!A62:A89"/><Relationship Id="rId1" Type="http://schemas.openxmlformats.org/officeDocument/2006/relationships/hyperlink" Target="#'MR-3 Fit-out Waste'!A16:A61"/><Relationship Id="rId6" Type="http://schemas.openxmlformats.org/officeDocument/2006/relationships/image" Target="../media/image42.png"/><Relationship Id="rId5" Type="http://schemas.openxmlformats.org/officeDocument/2006/relationships/hyperlink" Target="#'Materials &amp; Resources'!K2"/><Relationship Id="rId4" Type="http://schemas.openxmlformats.org/officeDocument/2006/relationships/hyperlink" Target="#'LOTUS SI Scorecard'!V5"/></Relationships>
</file>

<file path=xl/drawings/_rels/drawing29.xml.rels><?xml version="1.0" encoding="UTF-8" standalone="yes"?>
<Relationships xmlns="http://schemas.openxmlformats.org/package/2006/relationships"><Relationship Id="rId3" Type="http://schemas.openxmlformats.org/officeDocument/2006/relationships/hyperlink" Target="#'MR-4 Operation Waste Management'!A9"/><Relationship Id="rId7" Type="http://schemas.openxmlformats.org/officeDocument/2006/relationships/image" Target="../media/image44.png"/><Relationship Id="rId2" Type="http://schemas.openxmlformats.org/officeDocument/2006/relationships/hyperlink" Target="#'MR-4 Operation Waste Management'!A44:A85"/><Relationship Id="rId1" Type="http://schemas.openxmlformats.org/officeDocument/2006/relationships/hyperlink" Target="#'MR-4 Operation Waste Management'!A16:A43"/><Relationship Id="rId6" Type="http://schemas.openxmlformats.org/officeDocument/2006/relationships/hyperlink" Target="#'Materials &amp; Resources'!K2"/><Relationship Id="rId5" Type="http://schemas.openxmlformats.org/officeDocument/2006/relationships/hyperlink" Target="#'LOTUS SI Scorecard'!V5"/><Relationship Id="rId4" Type="http://schemas.openxmlformats.org/officeDocument/2006/relationships/image" Target="../media/image42.png"/></Relationships>
</file>

<file path=xl/drawings/_rels/drawing3.xml.rels><?xml version="1.0" encoding="UTF-8" standalone="yes"?>
<Relationships xmlns="http://schemas.openxmlformats.org/package/2006/relationships"><Relationship Id="rId8" Type="http://schemas.openxmlformats.org/officeDocument/2006/relationships/hyperlink" Target="#'LOTUS SI Eligibility'!A1"/><Relationship Id="rId3" Type="http://schemas.openxmlformats.org/officeDocument/2006/relationships/hyperlink" Target="#'LOTUS SI Scorecard'!V5"/><Relationship Id="rId7" Type="http://schemas.openxmlformats.org/officeDocument/2006/relationships/image" Target="../media/image5.png"/><Relationship Id="rId12" Type="http://schemas.openxmlformats.org/officeDocument/2006/relationships/hyperlink" Target="#Introduction!B8"/><Relationship Id="rId2" Type="http://schemas.openxmlformats.org/officeDocument/2006/relationships/hyperlink" Target="#Recommendations!N4"/><Relationship Id="rId1" Type="http://schemas.openxmlformats.org/officeDocument/2006/relationships/image" Target="../media/image4.emf"/><Relationship Id="rId6" Type="http://schemas.openxmlformats.org/officeDocument/2006/relationships/hyperlink" Target="#'Graphical Results'!C8"/><Relationship Id="rId11" Type="http://schemas.openxmlformats.org/officeDocument/2006/relationships/image" Target="../media/image7.emf"/><Relationship Id="rId5" Type="http://schemas.openxmlformats.org/officeDocument/2006/relationships/hyperlink" Target="#'Project information'!A1"/><Relationship Id="rId10" Type="http://schemas.openxmlformats.org/officeDocument/2006/relationships/image" Target="../media/image6.png"/><Relationship Id="rId4" Type="http://schemas.openxmlformats.org/officeDocument/2006/relationships/hyperlink" Target="#Instructions!N4"/><Relationship Id="rId9" Type="http://schemas.openxmlformats.org/officeDocument/2006/relationships/hyperlink" Target="#Glossary!A1"/></Relationships>
</file>

<file path=xl/drawings/_rels/drawing30.xml.rels><?xml version="1.0" encoding="UTF-8" standalone="yes"?>
<Relationships xmlns="http://schemas.openxmlformats.org/package/2006/relationships"><Relationship Id="rId2" Type="http://schemas.openxmlformats.org/officeDocument/2006/relationships/hyperlink" Target="#'LOTUS SI Scorecard'!V5"/><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LOTUS SI Scorecard'!V5"/><Relationship Id="rId1" Type="http://schemas.openxmlformats.org/officeDocument/2006/relationships/hyperlink" Target="#'Health &amp; Comfort'!K2"/><Relationship Id="rId6" Type="http://schemas.openxmlformats.org/officeDocument/2006/relationships/hyperlink" Target="#'H-1 Fresh Air Supply'!A9:K9"/><Relationship Id="rId5" Type="http://schemas.openxmlformats.org/officeDocument/2006/relationships/image" Target="../media/image47.png"/><Relationship Id="rId4" Type="http://schemas.openxmlformats.org/officeDocument/2006/relationships/image" Target="../media/image46.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hyperlink" Target="#'H-2 Low-VOC Emissions '!A178:A213"/><Relationship Id="rId3" Type="http://schemas.openxmlformats.org/officeDocument/2006/relationships/hyperlink" Target="#'H-2 Low-VOC Emissions '!A37:A71"/><Relationship Id="rId7" Type="http://schemas.openxmlformats.org/officeDocument/2006/relationships/image" Target="../media/image45.png"/><Relationship Id="rId12" Type="http://schemas.openxmlformats.org/officeDocument/2006/relationships/hyperlink" Target="#'H-2 Low-VOC Emissions '!A19:A36"/><Relationship Id="rId2" Type="http://schemas.openxmlformats.org/officeDocument/2006/relationships/hyperlink" Target="#'LOTUS SI Scorecard'!V5"/><Relationship Id="rId1" Type="http://schemas.openxmlformats.org/officeDocument/2006/relationships/hyperlink" Target="#'Health &amp; Comfort'!K2"/><Relationship Id="rId6" Type="http://schemas.openxmlformats.org/officeDocument/2006/relationships/hyperlink" Target="#'H-2 Low-VOC Emissions '!A143:A177"/><Relationship Id="rId11" Type="http://schemas.openxmlformats.org/officeDocument/2006/relationships/hyperlink" Target="#'H-2 Low-VOC Emissions '!A9"/><Relationship Id="rId5" Type="http://schemas.openxmlformats.org/officeDocument/2006/relationships/hyperlink" Target="#'H-2 Low-VOC Emissions '!A105:A142"/><Relationship Id="rId10" Type="http://schemas.openxmlformats.org/officeDocument/2006/relationships/image" Target="../media/image48.png"/><Relationship Id="rId4" Type="http://schemas.openxmlformats.org/officeDocument/2006/relationships/hyperlink" Target="#'H-2 Low-VOC Emissions '!A72:A104"/><Relationship Id="rId9" Type="http://schemas.openxmlformats.org/officeDocument/2006/relationships/image" Target="../media/image47.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LOTUS SI Scorecard'!V5"/><Relationship Id="rId1" Type="http://schemas.openxmlformats.org/officeDocument/2006/relationships/hyperlink" Target="#'Health &amp; Comfort'!K2"/><Relationship Id="rId5" Type="http://schemas.openxmlformats.org/officeDocument/2006/relationships/hyperlink" Target="#'H-3 Interior Plants'!A9"/><Relationship Id="rId4"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LOTUS SI Scorecard'!V5"/><Relationship Id="rId1" Type="http://schemas.openxmlformats.org/officeDocument/2006/relationships/hyperlink" Target="#'Health &amp; Comfort'!K2"/><Relationship Id="rId6" Type="http://schemas.openxmlformats.org/officeDocument/2006/relationships/hyperlink" Target="#'H-4 Green Cleaning'!A9"/><Relationship Id="rId5" Type="http://schemas.openxmlformats.org/officeDocument/2006/relationships/image" Target="../media/image47.png"/><Relationship Id="rId4"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hyperlink" Target="#'H-5 Daylighting'!A30:G109"/><Relationship Id="rId13" Type="http://schemas.openxmlformats.org/officeDocument/2006/relationships/image" Target="../media/image48.png"/><Relationship Id="rId3" Type="http://schemas.openxmlformats.org/officeDocument/2006/relationships/hyperlink" Target="#'LOTUS SI Scorecard'!V5"/><Relationship Id="rId7" Type="http://schemas.openxmlformats.org/officeDocument/2006/relationships/image" Target="../media/image46.png"/><Relationship Id="rId12" Type="http://schemas.openxmlformats.org/officeDocument/2006/relationships/image" Target="../media/image52.png"/><Relationship Id="rId2" Type="http://schemas.openxmlformats.org/officeDocument/2006/relationships/hyperlink" Target="#'Health &amp; Comfort'!K2"/><Relationship Id="rId1" Type="http://schemas.openxmlformats.org/officeDocument/2006/relationships/hyperlink" Target="#Resources!A88:Q114"/><Relationship Id="rId6" Type="http://schemas.openxmlformats.org/officeDocument/2006/relationships/hyperlink" Target="#'H-5 Daylighting'!A9"/><Relationship Id="rId11" Type="http://schemas.openxmlformats.org/officeDocument/2006/relationships/image" Target="../media/image51.png"/><Relationship Id="rId5" Type="http://schemas.openxmlformats.org/officeDocument/2006/relationships/image" Target="../media/image47.png"/><Relationship Id="rId10" Type="http://schemas.openxmlformats.org/officeDocument/2006/relationships/image" Target="../media/image50.png"/><Relationship Id="rId4" Type="http://schemas.openxmlformats.org/officeDocument/2006/relationships/image" Target="../media/image49.png"/><Relationship Id="rId9" Type="http://schemas.openxmlformats.org/officeDocument/2006/relationships/hyperlink" Target="#'H-5 Daylighting'!A110:A170"/></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hyperlink" Target="#'H-6 External Views'!A20:L82"/><Relationship Id="rId7" Type="http://schemas.openxmlformats.org/officeDocument/2006/relationships/image" Target="../media/image53.png"/><Relationship Id="rId2" Type="http://schemas.openxmlformats.org/officeDocument/2006/relationships/hyperlink" Target="#'LOTUS SI Scorecard'!V5"/><Relationship Id="rId1" Type="http://schemas.openxmlformats.org/officeDocument/2006/relationships/hyperlink" Target="#'Health &amp; Comfort'!K2"/><Relationship Id="rId6" Type="http://schemas.openxmlformats.org/officeDocument/2006/relationships/image" Target="../media/image48.png"/><Relationship Id="rId5" Type="http://schemas.openxmlformats.org/officeDocument/2006/relationships/image" Target="../media/image49.png"/><Relationship Id="rId10" Type="http://schemas.openxmlformats.org/officeDocument/2006/relationships/image" Target="../media/image46.png"/><Relationship Id="rId4" Type="http://schemas.openxmlformats.org/officeDocument/2006/relationships/hyperlink" Target="#'H-6 External Views'!A83:L180"/><Relationship Id="rId9" Type="http://schemas.openxmlformats.org/officeDocument/2006/relationships/hyperlink" Target="#'H-6 External Views'!A9"/></Relationships>
</file>

<file path=xl/drawings/_rels/drawing37.xml.rels><?xml version="1.0" encoding="UTF-8" standalone="yes"?>
<Relationships xmlns="http://schemas.openxmlformats.org/package/2006/relationships"><Relationship Id="rId3" Type="http://schemas.openxmlformats.org/officeDocument/2006/relationships/hyperlink" Target="#'H-7 Thermal Comfort'!A9"/><Relationship Id="rId2" Type="http://schemas.openxmlformats.org/officeDocument/2006/relationships/hyperlink" Target="#'LOTUS SI Scorecard'!V5"/><Relationship Id="rId1" Type="http://schemas.openxmlformats.org/officeDocument/2006/relationships/hyperlink" Target="#'Health &amp; Comfort'!K2"/><Relationship Id="rId6" Type="http://schemas.openxmlformats.org/officeDocument/2006/relationships/hyperlink" Target="#Resources!A115:Q200"/><Relationship Id="rId5" Type="http://schemas.openxmlformats.org/officeDocument/2006/relationships/image" Target="../media/image47.png"/><Relationship Id="rId4"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hyperlink" Target="#'H&amp;C BPC'!A297:M365"/><Relationship Id="rId18" Type="http://schemas.openxmlformats.org/officeDocument/2006/relationships/hyperlink" Target="#'H&amp;C BPC'!A78:M103"/><Relationship Id="rId3" Type="http://schemas.openxmlformats.org/officeDocument/2006/relationships/hyperlink" Target="#'H&amp;C BPC'!A24:L189"/><Relationship Id="rId7" Type="http://schemas.openxmlformats.org/officeDocument/2006/relationships/image" Target="../media/image47.png"/><Relationship Id="rId12" Type="http://schemas.openxmlformats.org/officeDocument/2006/relationships/hyperlink" Target="#'H&amp;C BPC'!A254:M296"/><Relationship Id="rId17" Type="http://schemas.openxmlformats.org/officeDocument/2006/relationships/hyperlink" Target="#'H&amp;C BPC'!A30:M77"/><Relationship Id="rId2" Type="http://schemas.openxmlformats.org/officeDocument/2006/relationships/hyperlink" Target="#'LOTUS SI Scorecard'!V5"/><Relationship Id="rId16" Type="http://schemas.openxmlformats.org/officeDocument/2006/relationships/image" Target="../media/image55.png"/><Relationship Id="rId20" Type="http://schemas.openxmlformats.org/officeDocument/2006/relationships/image" Target="../media/image57.png"/><Relationship Id="rId1" Type="http://schemas.openxmlformats.org/officeDocument/2006/relationships/hyperlink" Target="#'Health &amp; Comfort'!K2"/><Relationship Id="rId6" Type="http://schemas.openxmlformats.org/officeDocument/2006/relationships/image" Target="../media/image45.png"/><Relationship Id="rId11" Type="http://schemas.openxmlformats.org/officeDocument/2006/relationships/image" Target="../media/image49.png"/><Relationship Id="rId5" Type="http://schemas.openxmlformats.org/officeDocument/2006/relationships/hyperlink" Target="#'H&amp;C BPC'!A250:L365"/><Relationship Id="rId15" Type="http://schemas.openxmlformats.org/officeDocument/2006/relationships/image" Target="../media/image54.png"/><Relationship Id="rId10" Type="http://schemas.openxmlformats.org/officeDocument/2006/relationships/image" Target="../media/image48.png"/><Relationship Id="rId19" Type="http://schemas.openxmlformats.org/officeDocument/2006/relationships/image" Target="../media/image56.png"/><Relationship Id="rId4" Type="http://schemas.openxmlformats.org/officeDocument/2006/relationships/hyperlink" Target="#'H&amp;C BPC'!A190:L249"/><Relationship Id="rId9" Type="http://schemas.openxmlformats.org/officeDocument/2006/relationships/hyperlink" Target="#'H&amp;C BPC'!A8"/><Relationship Id="rId14" Type="http://schemas.openxmlformats.org/officeDocument/2006/relationships/hyperlink" Target="#'H&amp;C BPC'!A366:L425"/></Relationships>
</file>

<file path=xl/drawings/_rels/drawing39.xml.rels><?xml version="1.0" encoding="UTF-8" standalone="yes"?>
<Relationships xmlns="http://schemas.openxmlformats.org/package/2006/relationships"><Relationship Id="rId2" Type="http://schemas.openxmlformats.org/officeDocument/2006/relationships/hyperlink" Target="#'LOTUS SI Scorecard'!V5"/><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hyperlink" Target="#'LOTUS SI Scorecard'!V5"/><Relationship Id="rId13" Type="http://schemas.openxmlformats.org/officeDocument/2006/relationships/image" Target="../media/image8.png"/><Relationship Id="rId3" Type="http://schemas.openxmlformats.org/officeDocument/2006/relationships/hyperlink" Target="#'Project information'!A1"/><Relationship Id="rId7" Type="http://schemas.openxmlformats.org/officeDocument/2006/relationships/hyperlink" Target="#Recommendations!N4"/><Relationship Id="rId12" Type="http://schemas.openxmlformats.org/officeDocument/2006/relationships/hyperlink" Target="#'Additional information'!A1"/><Relationship Id="rId17" Type="http://schemas.openxmlformats.org/officeDocument/2006/relationships/image" Target="../media/image12.png"/><Relationship Id="rId2" Type="http://schemas.openxmlformats.org/officeDocument/2006/relationships/hyperlink" Target="#'Application Form'!A1"/><Relationship Id="rId16" Type="http://schemas.openxmlformats.org/officeDocument/2006/relationships/image" Target="../media/image11.png"/><Relationship Id="rId1" Type="http://schemas.openxmlformats.org/officeDocument/2006/relationships/hyperlink" Target="#'LOTUS SI Eligibility'!A1"/><Relationship Id="rId6" Type="http://schemas.openxmlformats.org/officeDocument/2006/relationships/hyperlink" Target="#'Certification checklist '!A1"/><Relationship Id="rId11" Type="http://schemas.openxmlformats.org/officeDocument/2006/relationships/hyperlink" Target="#Glossary!A1"/><Relationship Id="rId5" Type="http://schemas.openxmlformats.org/officeDocument/2006/relationships/hyperlink" Target="#'Pre-assessment checklist'!W1"/><Relationship Id="rId15" Type="http://schemas.openxmlformats.org/officeDocument/2006/relationships/image" Target="../media/image10.png"/><Relationship Id="rId10" Type="http://schemas.openxmlformats.org/officeDocument/2006/relationships/hyperlink" Target="#'Graphical Results'!C8"/><Relationship Id="rId4" Type="http://schemas.openxmlformats.org/officeDocument/2006/relationships/hyperlink" Target="#'LOTUS SI Scorecard'!J2"/><Relationship Id="rId9" Type="http://schemas.openxmlformats.org/officeDocument/2006/relationships/hyperlink" Target="#Introduction!N3"/><Relationship Id="rId1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hyperlink" Target="#'SE-1 Base building '!A9"/><Relationship Id="rId2" Type="http://schemas.openxmlformats.org/officeDocument/2006/relationships/hyperlink" Target="#'LOTUS SI Scorecard'!V5"/><Relationship Id="rId1" Type="http://schemas.openxmlformats.org/officeDocument/2006/relationships/hyperlink" Target="#'Site &amp; Environment'!K2"/><Relationship Id="rId6" Type="http://schemas.openxmlformats.org/officeDocument/2006/relationships/hyperlink" Target="#'SE-1 Base building '!A45:A76"/><Relationship Id="rId5" Type="http://schemas.openxmlformats.org/officeDocument/2006/relationships/hyperlink" Target="#'SE-1 Base building '!A18:A44"/><Relationship Id="rId4" Type="http://schemas.openxmlformats.org/officeDocument/2006/relationships/image" Target="../media/image59.png"/></Relationships>
</file>

<file path=xl/drawings/_rels/drawing41.xml.rels><?xml version="1.0" encoding="UTF-8" standalone="yes"?>
<Relationships xmlns="http://schemas.openxmlformats.org/package/2006/relationships"><Relationship Id="rId3" Type="http://schemas.openxmlformats.org/officeDocument/2006/relationships/hyperlink" Target="#'SE-2 Tenancy lease'!A38:A67"/><Relationship Id="rId7" Type="http://schemas.openxmlformats.org/officeDocument/2006/relationships/hyperlink" Target="#'Site &amp; Environment'!K2"/><Relationship Id="rId2" Type="http://schemas.openxmlformats.org/officeDocument/2006/relationships/hyperlink" Target="#'SE-2 Tenancy lease'!A17:A37"/><Relationship Id="rId1" Type="http://schemas.openxmlformats.org/officeDocument/2006/relationships/hyperlink" Target="#'LOTUS SI Scorecard'!V5"/><Relationship Id="rId6" Type="http://schemas.openxmlformats.org/officeDocument/2006/relationships/hyperlink" Target="#'SE-2 Tenancy lease'!A9"/><Relationship Id="rId5" Type="http://schemas.openxmlformats.org/officeDocument/2006/relationships/image" Target="../media/image59.png"/><Relationship Id="rId4" Type="http://schemas.openxmlformats.org/officeDocument/2006/relationships/image" Target="../media/image58.png"/></Relationships>
</file>

<file path=xl/drawings/_rels/drawing42.xml.rels><?xml version="1.0" encoding="UTF-8" standalone="yes"?>
<Relationships xmlns="http://schemas.openxmlformats.org/package/2006/relationships"><Relationship Id="rId8" Type="http://schemas.openxmlformats.org/officeDocument/2006/relationships/hyperlink" Target="#'SE-3 Green Transportation '!A9"/><Relationship Id="rId3" Type="http://schemas.openxmlformats.org/officeDocument/2006/relationships/hyperlink" Target="#'SE-3 Green Transportation '!A42:A79"/><Relationship Id="rId7" Type="http://schemas.openxmlformats.org/officeDocument/2006/relationships/image" Target="../media/image60.png"/><Relationship Id="rId2" Type="http://schemas.openxmlformats.org/officeDocument/2006/relationships/hyperlink" Target="#'SE-3 Green Transportation '!A17:A41"/><Relationship Id="rId1" Type="http://schemas.openxmlformats.org/officeDocument/2006/relationships/hyperlink" Target="#'LOTUS SI Scorecard'!V5"/><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hyperlink" Target="#'Site &amp; Environment'!K2"/><Relationship Id="rId4" Type="http://schemas.openxmlformats.org/officeDocument/2006/relationships/hyperlink" Target="#'SE-3 Green Transportation '!A80:A106"/><Relationship Id="rId9" Type="http://schemas.openxmlformats.org/officeDocument/2006/relationships/image" Target="../media/image61.png"/></Relationships>
</file>

<file path=xl/drawings/_rels/drawing43.xml.rels><?xml version="1.0" encoding="UTF-8" standalone="yes"?>
<Relationships xmlns="http://schemas.openxmlformats.org/package/2006/relationships"><Relationship Id="rId8" Type="http://schemas.openxmlformats.org/officeDocument/2006/relationships/hyperlink" Target="#'Site &amp; Environment'!K2"/><Relationship Id="rId13" Type="http://schemas.openxmlformats.org/officeDocument/2006/relationships/image" Target="../media/image62.png"/><Relationship Id="rId3" Type="http://schemas.openxmlformats.org/officeDocument/2006/relationships/hyperlink" Target="#'SE-4 Refrigerants'!A57:A112"/><Relationship Id="rId7" Type="http://schemas.openxmlformats.org/officeDocument/2006/relationships/hyperlink" Target="#'SE-4 Refrigerants'!A18:A25"/><Relationship Id="rId12" Type="http://schemas.openxmlformats.org/officeDocument/2006/relationships/image" Target="../media/image60.png"/><Relationship Id="rId2" Type="http://schemas.openxmlformats.org/officeDocument/2006/relationships/hyperlink" Target="#'SE-4 Refrigerants'!A26:A56"/><Relationship Id="rId1" Type="http://schemas.openxmlformats.org/officeDocument/2006/relationships/hyperlink" Target="#'LOTUS SI Scorecard'!V5"/><Relationship Id="rId6" Type="http://schemas.openxmlformats.org/officeDocument/2006/relationships/hyperlink" Target="#'SE-4 Refrigerants'!A9"/><Relationship Id="rId11" Type="http://schemas.openxmlformats.org/officeDocument/2006/relationships/image" Target="../media/image61.png"/><Relationship Id="rId5" Type="http://schemas.openxmlformats.org/officeDocument/2006/relationships/hyperlink" Target="#'SE-4 Refrigerants'!A113:A161"/><Relationship Id="rId10" Type="http://schemas.openxmlformats.org/officeDocument/2006/relationships/image" Target="../media/image59.png"/><Relationship Id="rId4" Type="http://schemas.openxmlformats.org/officeDocument/2006/relationships/hyperlink" Target="#Resources!A73:Q87"/><Relationship Id="rId9" Type="http://schemas.openxmlformats.org/officeDocument/2006/relationships/image" Target="../media/image5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hyperlink" Target="#'LOTUS SI Scorecard'!V5"/><Relationship Id="rId5" Type="http://schemas.openxmlformats.org/officeDocument/2006/relationships/hyperlink" Target="#'Site &amp; Environment'!K2"/><Relationship Id="rId4" Type="http://schemas.openxmlformats.org/officeDocument/2006/relationships/hyperlink" Target="#'SE-BPC'!A9"/></Relationships>
</file>

<file path=xl/drawings/_rels/drawing45.xml.rels><?xml version="1.0" encoding="UTF-8" standalone="yes"?>
<Relationships xmlns="http://schemas.openxmlformats.org/package/2006/relationships"><Relationship Id="rId2" Type="http://schemas.openxmlformats.org/officeDocument/2006/relationships/hyperlink" Target="#'LOTUS SI Scorecard'!V5"/><Relationship Id="rId1" Type="http://schemas.openxmlformats.org/officeDocument/2006/relationships/image" Target="../media/image19.png"/></Relationships>
</file>

<file path=xl/drawings/_rels/drawing4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Man-1 Construction Stage'!A18:A65"/><Relationship Id="rId7" Type="http://schemas.openxmlformats.org/officeDocument/2006/relationships/image" Target="../media/image9.png"/><Relationship Id="rId2" Type="http://schemas.openxmlformats.org/officeDocument/2006/relationships/hyperlink" Target="#'LOTUS SI Scorecard'!V5"/><Relationship Id="rId1" Type="http://schemas.openxmlformats.org/officeDocument/2006/relationships/hyperlink" Target="#Management!K2"/><Relationship Id="rId6" Type="http://schemas.openxmlformats.org/officeDocument/2006/relationships/hyperlink" Target="#'Man-1 Construction Stage'!A129:A169"/><Relationship Id="rId5" Type="http://schemas.openxmlformats.org/officeDocument/2006/relationships/hyperlink" Target="#'Man-1 Construction Stage'!A90:A128"/><Relationship Id="rId10" Type="http://schemas.openxmlformats.org/officeDocument/2006/relationships/image" Target="../media/image10.png"/><Relationship Id="rId4" Type="http://schemas.openxmlformats.org/officeDocument/2006/relationships/hyperlink" Target="#'Man-1 Construction Stage'!A66:A89"/><Relationship Id="rId9" Type="http://schemas.openxmlformats.org/officeDocument/2006/relationships/hyperlink" Target="#'Man-1 Construction Stage'!A9"/></Relationships>
</file>

<file path=xl/drawings/_rels/drawing47.xml.rels><?xml version="1.0" encoding="UTF-8" standalone="yes"?>
<Relationships xmlns="http://schemas.openxmlformats.org/package/2006/relationships"><Relationship Id="rId8" Type="http://schemas.openxmlformats.org/officeDocument/2006/relationships/hyperlink" Target="#'Man-2 Commissioning'!A14:A20"/><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LOTUS SI Scorecard'!V5"/><Relationship Id="rId1" Type="http://schemas.openxmlformats.org/officeDocument/2006/relationships/hyperlink" Target="#Management!K2"/><Relationship Id="rId6" Type="http://schemas.openxmlformats.org/officeDocument/2006/relationships/hyperlink" Target="#'Man-2 Commissioning'!A9"/><Relationship Id="rId5" Type="http://schemas.openxmlformats.org/officeDocument/2006/relationships/image" Target="../media/image8.png"/><Relationship Id="rId4" Type="http://schemas.openxmlformats.org/officeDocument/2006/relationships/image" Target="../media/image10.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9.png"/><Relationship Id="rId7" Type="http://schemas.openxmlformats.org/officeDocument/2006/relationships/hyperlink" Target="#'Man-3 Maintenance'!A9"/><Relationship Id="rId2" Type="http://schemas.openxmlformats.org/officeDocument/2006/relationships/hyperlink" Target="#'LOTUS SI Scorecard'!V5"/><Relationship Id="rId1" Type="http://schemas.openxmlformats.org/officeDocument/2006/relationships/hyperlink" Target="#Management!K2"/><Relationship Id="rId6" Type="http://schemas.openxmlformats.org/officeDocument/2006/relationships/image" Target="../media/image8.png"/><Relationship Id="rId5" Type="http://schemas.openxmlformats.org/officeDocument/2006/relationships/hyperlink" Target="#'Man-3 Maintenance'!A51:A86"/><Relationship Id="rId4" Type="http://schemas.openxmlformats.org/officeDocument/2006/relationships/hyperlink" Target="#'Man-3 Maintenance'!A19:A50"/></Relationships>
</file>

<file path=xl/drawings/_rels/drawing49.xml.rels><?xml version="1.0" encoding="UTF-8" standalone="yes"?>
<Relationships xmlns="http://schemas.openxmlformats.org/package/2006/relationships"><Relationship Id="rId8" Type="http://schemas.openxmlformats.org/officeDocument/2006/relationships/hyperlink" Target="#'Man-4 Green Awareness '!A9"/><Relationship Id="rId3" Type="http://schemas.openxmlformats.org/officeDocument/2006/relationships/image" Target="../media/image9.png"/><Relationship Id="rId7" Type="http://schemas.openxmlformats.org/officeDocument/2006/relationships/hyperlink" Target="#'Man-4 Green Awareness '!A91:A122"/><Relationship Id="rId2" Type="http://schemas.openxmlformats.org/officeDocument/2006/relationships/hyperlink" Target="#'LOTUS SI Scorecard'!V5"/><Relationship Id="rId1" Type="http://schemas.openxmlformats.org/officeDocument/2006/relationships/hyperlink" Target="#Management!K2"/><Relationship Id="rId6" Type="http://schemas.openxmlformats.org/officeDocument/2006/relationships/hyperlink" Target="#'Man-4 Green Awareness '!A50:A90"/><Relationship Id="rId5" Type="http://schemas.openxmlformats.org/officeDocument/2006/relationships/hyperlink" Target="#'Man-4 Green Awareness '!A17:A54"/><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Project information'!A1"/><Relationship Id="rId7" Type="http://schemas.openxmlformats.org/officeDocument/2006/relationships/image" Target="../media/image12.png"/><Relationship Id="rId2" Type="http://schemas.openxmlformats.org/officeDocument/2006/relationships/hyperlink" Target="#Instructions!N4"/><Relationship Id="rId1" Type="http://schemas.openxmlformats.org/officeDocument/2006/relationships/hyperlink" Target="#'LOTUS SI Scorecard'!V5"/><Relationship Id="rId6" Type="http://schemas.openxmlformats.org/officeDocument/2006/relationships/hyperlink" Target="#Introduction!N3"/><Relationship Id="rId5" Type="http://schemas.openxmlformats.org/officeDocument/2006/relationships/hyperlink" Target="#Resources!C8"/><Relationship Id="rId4" Type="http://schemas.openxmlformats.org/officeDocument/2006/relationships/hyperlink" Target="#'Graphical Results'!C8"/></Relationships>
</file>

<file path=xl/drawings/_rels/drawing5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Man BPC'!A44:K75"/><Relationship Id="rId7" Type="http://schemas.openxmlformats.org/officeDocument/2006/relationships/image" Target="../media/image9.png"/><Relationship Id="rId2" Type="http://schemas.openxmlformats.org/officeDocument/2006/relationships/hyperlink" Target="#'Man BPC'!A16:K43"/><Relationship Id="rId1" Type="http://schemas.openxmlformats.org/officeDocument/2006/relationships/hyperlink" Target="#'LOTUS SI Scorecard'!V5"/><Relationship Id="rId6" Type="http://schemas.openxmlformats.org/officeDocument/2006/relationships/hyperlink" Target="#'Man BPC'!A76:K118"/><Relationship Id="rId5" Type="http://schemas.openxmlformats.org/officeDocument/2006/relationships/hyperlink" Target="#Management!K2"/><Relationship Id="rId10" Type="http://schemas.openxmlformats.org/officeDocument/2006/relationships/image" Target="../media/image11.png"/><Relationship Id="rId4" Type="http://schemas.openxmlformats.org/officeDocument/2006/relationships/hyperlink" Target="#'Man BPC'!A8"/><Relationship Id="rId9" Type="http://schemas.openxmlformats.org/officeDocument/2006/relationships/image" Target="../media/image10.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LOTUS SI Scorecard'!V5"/></Relationships>
</file>

<file path=xl/drawings/_rels/drawing52.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hyperlink" Target="#'LOTUS SI Scorecard'!V5"/><Relationship Id="rId1" Type="http://schemas.openxmlformats.org/officeDocument/2006/relationships/hyperlink" Target="#'Exceptional Performance'!K2"/><Relationship Id="rId4" Type="http://schemas.openxmlformats.org/officeDocument/2006/relationships/hyperlink" Target="#'EP-1 Enhanced Performance '!A9"/></Relationships>
</file>

<file path=xl/drawings/_rels/drawing53.xml.rels><?xml version="1.0" encoding="UTF-8" standalone="yes"?>
<Relationships xmlns="http://schemas.openxmlformats.org/package/2006/relationships"><Relationship Id="rId3" Type="http://schemas.openxmlformats.org/officeDocument/2006/relationships/hyperlink" Target="#'EP-2 Innovative Solutions'!A9"/><Relationship Id="rId2" Type="http://schemas.openxmlformats.org/officeDocument/2006/relationships/image" Target="../media/image64.png"/><Relationship Id="rId1" Type="http://schemas.openxmlformats.org/officeDocument/2006/relationships/hyperlink" Target="#'LOTUS SI Scorecard'!V5"/><Relationship Id="rId4" Type="http://schemas.openxmlformats.org/officeDocument/2006/relationships/hyperlink" Target="#'Exceptional Performance'!K2"/></Relationships>
</file>

<file path=xl/drawings/_rels/drawing54.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J2"/></Relationships>
</file>

<file path=xl/drawings/_rels/drawing55.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J2"/><Relationship Id="rId4" Type="http://schemas.openxmlformats.org/officeDocument/2006/relationships/hyperlink" Target="#'Certification checklist '!A1"/></Relationships>
</file>

<file path=xl/drawings/_rels/drawing56.xml.rels><?xml version="1.0" encoding="UTF-8" standalone="yes"?>
<Relationships xmlns="http://schemas.openxmlformats.org/package/2006/relationships"><Relationship Id="rId8" Type="http://schemas.openxmlformats.org/officeDocument/2006/relationships/hyperlink" Target="#'H-7 Thermal Comfort'!B3"/><Relationship Id="rId3" Type="http://schemas.openxmlformats.org/officeDocument/2006/relationships/hyperlink" Target="#'SE-4 Refrigerants'!A73"/><Relationship Id="rId7" Type="http://schemas.openxmlformats.org/officeDocument/2006/relationships/hyperlink" Target="#'W-1 Water Efficient Fixtures'!A9"/><Relationship Id="rId2" Type="http://schemas.openxmlformats.org/officeDocument/2006/relationships/hyperlink" Target="#'H-5 Daylighting'!B119"/><Relationship Id="rId1" Type="http://schemas.openxmlformats.org/officeDocument/2006/relationships/image" Target="../media/image65.jpeg"/><Relationship Id="rId6" Type="http://schemas.openxmlformats.org/officeDocument/2006/relationships/hyperlink" Target="#Introduction!N3"/><Relationship Id="rId11" Type="http://schemas.openxmlformats.org/officeDocument/2006/relationships/hyperlink" Target="#'E-2 Artificial Lighting'!B3"/><Relationship Id="rId5" Type="http://schemas.openxmlformats.org/officeDocument/2006/relationships/hyperlink" Target="#Instructions!N4"/><Relationship Id="rId10" Type="http://schemas.openxmlformats.org/officeDocument/2006/relationships/image" Target="../media/image67.png"/><Relationship Id="rId4" Type="http://schemas.openxmlformats.org/officeDocument/2006/relationships/hyperlink" Target="#'LOTUS SI Scorecard'!J2"/><Relationship Id="rId9" Type="http://schemas.openxmlformats.org/officeDocument/2006/relationships/image" Target="../media/image66.emf"/></Relationships>
</file>

<file path=xl/drawings/_rels/drawing6.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V5"/><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V5"/><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Introduction!N3"/><Relationship Id="rId2" Type="http://schemas.openxmlformats.org/officeDocument/2006/relationships/hyperlink" Target="#Instructions!N4"/><Relationship Id="rId1" Type="http://schemas.openxmlformats.org/officeDocument/2006/relationships/hyperlink" Target="#'LOTUS SI Scorecard'!V5"/><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142874</xdr:rowOff>
    </xdr:from>
    <xdr:to>
      <xdr:col>13</xdr:col>
      <xdr:colOff>542924</xdr:colOff>
      <xdr:row>24</xdr:row>
      <xdr:rowOff>64255</xdr:rowOff>
    </xdr:to>
    <xdr:pic>
      <xdr:nvPicPr>
        <xdr:cNvPr id="10" name="Picture 9" descr="C:\Users\VGBC\Desktop\111114 Option 1a.png">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 cstate="print">
          <a:duotone>
            <a:prstClr val="black"/>
            <a:srgbClr val="984806">
              <a:tint val="45000"/>
              <a:satMod val="400000"/>
            </a:srgbClr>
          </a:duotone>
          <a:extLst>
            <a:ext uri="{BEBA8EAE-BF5A-486C-A8C5-ECC9F3942E4B}">
              <a14:imgProps xmlns:a14="http://schemas.microsoft.com/office/drawing/2010/main">
                <a14:imgLayer r:embed="rId2">
                  <a14:imgEffect>
                    <a14:sharpenSoften amount="25000"/>
                  </a14:imgEffect>
                  <a14:imgEffect>
                    <a14:brightnessContrast bright="20000" contrast="20000"/>
                  </a14:imgEffect>
                </a14:imgLayer>
              </a14:imgProps>
            </a:ext>
            <a:ext uri="{28A0092B-C50C-407E-A947-70E740481C1C}">
              <a14:useLocalDpi xmlns:a14="http://schemas.microsoft.com/office/drawing/2010/main" val="0"/>
            </a:ext>
          </a:extLst>
        </a:blip>
        <a:srcRect l="7387" t="5591" r="1478" b="-1"/>
        <a:stretch/>
      </xdr:blipFill>
      <xdr:spPr bwMode="auto">
        <a:xfrm>
          <a:off x="0" y="2371724"/>
          <a:ext cx="8620124" cy="23216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419100</xdr:colOff>
      <xdr:row>0</xdr:row>
      <xdr:rowOff>0</xdr:rowOff>
    </xdr:from>
    <xdr:to>
      <xdr:col>14</xdr:col>
      <xdr:colOff>0</xdr:colOff>
      <xdr:row>5</xdr:row>
      <xdr:rowOff>45975</xdr:rowOff>
    </xdr:to>
    <xdr:pic>
      <xdr:nvPicPr>
        <xdr:cNvPr id="5" name="Picture 8" descr="VGBC_logo.jpg">
          <a:hlinkClick xmlns:r="http://schemas.openxmlformats.org/officeDocument/2006/relationships" r:id="rId3"/>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cstate="print"/>
        <a:srcRect t="7665" r="1430" b="20566"/>
        <a:stretch/>
      </xdr:blipFill>
      <xdr:spPr>
        <a:xfrm>
          <a:off x="7277100" y="0"/>
          <a:ext cx="1343025" cy="1008000"/>
        </a:xfrm>
        <a:prstGeom prst="rect">
          <a:avLst/>
        </a:prstGeom>
      </xdr:spPr>
    </xdr:pic>
    <xdr:clientData/>
  </xdr:twoCellAnchor>
  <xdr:twoCellAnchor>
    <xdr:from>
      <xdr:col>0</xdr:col>
      <xdr:colOff>95251</xdr:colOff>
      <xdr:row>26</xdr:row>
      <xdr:rowOff>38100</xdr:rowOff>
    </xdr:from>
    <xdr:to>
      <xdr:col>13</xdr:col>
      <xdr:colOff>457200</xdr:colOff>
      <xdr:row>26</xdr:row>
      <xdr:rowOff>847725</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5251" y="4924425"/>
          <a:ext cx="8439149" cy="8096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u="none" strike="noStrike">
              <a:solidFill>
                <a:schemeClr val="dk1"/>
              </a:solidFill>
              <a:effectLst/>
              <a:latin typeface="+mn-lt"/>
              <a:ea typeface="+mn-ea"/>
              <a:cs typeface="+mn-cs"/>
            </a:rPr>
            <a:t>© Copyright Vietnam Green Building Council. 2021. </a:t>
          </a:r>
        </a:p>
        <a:p>
          <a:r>
            <a:rPr lang="en-US" sz="1100" b="0" i="1" u="none" strike="noStrike">
              <a:solidFill>
                <a:schemeClr val="dk1"/>
              </a:solidFill>
              <a:effectLst/>
              <a:latin typeface="+mn-lt"/>
              <a:ea typeface="+mn-ea"/>
              <a:cs typeface="+mn-cs"/>
            </a:rPr>
            <a:t>Whilst every care has been taken in preparing this document, the Vietnam Green Building Council cannot accept responsibility for any inaccuracies or for consequential loss incurred as a result of such inaccuracies arising through the use of the document. </a:t>
          </a:r>
          <a:br>
            <a:rPr lang="en-US" sz="1100" b="0" i="1" u="none" strike="noStrike">
              <a:solidFill>
                <a:schemeClr val="dk1"/>
              </a:solidFill>
              <a:effectLst/>
              <a:latin typeface="+mn-lt"/>
              <a:ea typeface="+mn-ea"/>
              <a:cs typeface="+mn-cs"/>
            </a:rPr>
          </a:br>
          <a:r>
            <a:rPr lang="en-US" sz="1100" b="0" i="1" u="none" strike="noStrike">
              <a:solidFill>
                <a:schemeClr val="dk1"/>
              </a:solidFill>
              <a:effectLst/>
              <a:latin typeface="+mn-lt"/>
              <a:ea typeface="+mn-ea"/>
              <a:cs typeface="+mn-cs"/>
            </a:rPr>
            <a:t>The Vietnam Green Building Council reserves the right to amend, alter, change or update this document in any way and without prior notice. </a:t>
          </a:r>
          <a:r>
            <a:rPr lang="en-US"/>
            <a:t> </a:t>
          </a:r>
          <a:endParaRPr lang="en-US" sz="1100"/>
        </a:p>
      </xdr:txBody>
    </xdr:sp>
    <xdr:clientData/>
  </xdr:twoCellAnchor>
  <xdr:twoCellAnchor>
    <xdr:from>
      <xdr:col>1</xdr:col>
      <xdr:colOff>409575</xdr:colOff>
      <xdr:row>1</xdr:row>
      <xdr:rowOff>66675</xdr:rowOff>
    </xdr:from>
    <xdr:to>
      <xdr:col>4</xdr:col>
      <xdr:colOff>86475</xdr:colOff>
      <xdr:row>3</xdr:row>
      <xdr:rowOff>45675</xdr:rowOff>
    </xdr:to>
    <xdr:sp macro="" textlink="">
      <xdr:nvSpPr>
        <xdr:cNvPr id="8" name="Rectangle à coins arrondis 2">
          <a:hlinkClick xmlns:r="http://schemas.openxmlformats.org/officeDocument/2006/relationships" r:id="rId5" tooltip="Introduction"/>
          <a:extLst>
            <a:ext uri="{FF2B5EF4-FFF2-40B4-BE49-F238E27FC236}">
              <a16:creationId xmlns:a16="http://schemas.microsoft.com/office/drawing/2014/main" id="{00000000-0008-0000-0100-000008000000}"/>
            </a:ext>
          </a:extLst>
        </xdr:cNvPr>
        <xdr:cNvSpPr>
          <a:spLocks noChangeArrowheads="1"/>
        </xdr:cNvSpPr>
      </xdr:nvSpPr>
      <xdr:spPr bwMode="auto">
        <a:xfrm>
          <a:off x="1057275" y="266700"/>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Introduction</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7</xdr:row>
      <xdr:rowOff>85724</xdr:rowOff>
    </xdr:from>
    <xdr:to>
      <xdr:col>14</xdr:col>
      <xdr:colOff>0</xdr:colOff>
      <xdr:row>14</xdr:row>
      <xdr:rowOff>66674</xdr:rowOff>
    </xdr:to>
    <xdr:pic>
      <xdr:nvPicPr>
        <xdr:cNvPr id="9" name="Picture 8">
          <a:extLst>
            <a:ext uri="{FF2B5EF4-FFF2-40B4-BE49-F238E27FC236}">
              <a16:creationId xmlns:a16="http://schemas.microsoft.com/office/drawing/2014/main" id="{E4C343BE-ED17-4CE2-A350-3EB1937342A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4034" b="8781"/>
        <a:stretch/>
      </xdr:blipFill>
      <xdr:spPr bwMode="auto">
        <a:xfrm>
          <a:off x="0" y="1371599"/>
          <a:ext cx="86201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314512</xdr:colOff>
      <xdr:row>4</xdr:row>
      <xdr:rowOff>14288</xdr:rowOff>
    </xdr:from>
    <xdr:to>
      <xdr:col>7</xdr:col>
      <xdr:colOff>105712</xdr:colOff>
      <xdr:row>6</xdr:row>
      <xdr:rowOff>50438</xdr:rowOff>
    </xdr:to>
    <xdr:sp macro="" textlink="">
      <xdr:nvSpPr>
        <xdr:cNvPr id="13" name="Rectangle à coins arrondis 2">
          <a:hlinkClick xmlns:r="http://schemas.openxmlformats.org/officeDocument/2006/relationships" r:id="rId7" tooltip="Scorecard"/>
          <a:extLst>
            <a:ext uri="{FF2B5EF4-FFF2-40B4-BE49-F238E27FC236}">
              <a16:creationId xmlns:a16="http://schemas.microsoft.com/office/drawing/2014/main" id="{484B151B-3904-4275-9C2A-2ABD3DE88C56}"/>
            </a:ext>
          </a:extLst>
        </xdr:cNvPr>
        <xdr:cNvSpPr>
          <a:spLocks noChangeArrowheads="1"/>
        </xdr:cNvSpPr>
      </xdr:nvSpPr>
      <xdr:spPr bwMode="auto">
        <a:xfrm>
          <a:off x="2905312" y="785813"/>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Scorecard</a:t>
          </a:r>
        </a:p>
      </xdr:txBody>
    </xdr:sp>
    <xdr:clientData/>
  </xdr:twoCellAnchor>
  <xdr:twoCellAnchor>
    <xdr:from>
      <xdr:col>1</xdr:col>
      <xdr:colOff>409575</xdr:colOff>
      <xdr:row>4</xdr:row>
      <xdr:rowOff>14288</xdr:rowOff>
    </xdr:from>
    <xdr:to>
      <xdr:col>4</xdr:col>
      <xdr:colOff>86475</xdr:colOff>
      <xdr:row>6</xdr:row>
      <xdr:rowOff>50438</xdr:rowOff>
    </xdr:to>
    <xdr:sp macro="" textlink="">
      <xdr:nvSpPr>
        <xdr:cNvPr id="14" name="Rectangle à coins arrondis 2">
          <a:hlinkClick xmlns:r="http://schemas.openxmlformats.org/officeDocument/2006/relationships" r:id="rId8" tooltip="Project Information"/>
          <a:extLst>
            <a:ext uri="{FF2B5EF4-FFF2-40B4-BE49-F238E27FC236}">
              <a16:creationId xmlns:a16="http://schemas.microsoft.com/office/drawing/2014/main" id="{E2733DFC-1100-406E-80CA-F584CA17D702}"/>
            </a:ext>
          </a:extLst>
        </xdr:cNvPr>
        <xdr:cNvSpPr>
          <a:spLocks noChangeArrowheads="1"/>
        </xdr:cNvSpPr>
      </xdr:nvSpPr>
      <xdr:spPr bwMode="auto">
        <a:xfrm>
          <a:off x="1057275" y="785813"/>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Project Information</a:t>
          </a:r>
        </a:p>
      </xdr:txBody>
    </xdr:sp>
    <xdr:clientData/>
  </xdr:twoCellAnchor>
  <xdr:twoCellAnchor>
    <xdr:from>
      <xdr:col>7</xdr:col>
      <xdr:colOff>319087</xdr:colOff>
      <xdr:row>4</xdr:row>
      <xdr:rowOff>14288</xdr:rowOff>
    </xdr:from>
    <xdr:to>
      <xdr:col>10</xdr:col>
      <xdr:colOff>110287</xdr:colOff>
      <xdr:row>6</xdr:row>
      <xdr:rowOff>50438</xdr:rowOff>
    </xdr:to>
    <xdr:sp macro="" textlink="">
      <xdr:nvSpPr>
        <xdr:cNvPr id="16" name="Rectangle à coins arrondis 2">
          <a:hlinkClick xmlns:r="http://schemas.openxmlformats.org/officeDocument/2006/relationships" r:id="rId9" tooltip="Glossary"/>
          <a:extLst>
            <a:ext uri="{FF2B5EF4-FFF2-40B4-BE49-F238E27FC236}">
              <a16:creationId xmlns:a16="http://schemas.microsoft.com/office/drawing/2014/main" id="{F79B1B98-52C4-4041-B121-0F006FD8EA73}"/>
            </a:ext>
          </a:extLst>
        </xdr:cNvPr>
        <xdr:cNvSpPr>
          <a:spLocks noChangeArrowheads="1"/>
        </xdr:cNvSpPr>
      </xdr:nvSpPr>
      <xdr:spPr bwMode="auto">
        <a:xfrm>
          <a:off x="4738687" y="785813"/>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Glossary</a:t>
          </a:r>
        </a:p>
      </xdr:txBody>
    </xdr:sp>
    <xdr:clientData/>
  </xdr:twoCellAnchor>
  <xdr:twoCellAnchor>
    <xdr:from>
      <xdr:col>4</xdr:col>
      <xdr:colOff>314512</xdr:colOff>
      <xdr:row>1</xdr:row>
      <xdr:rowOff>66675</xdr:rowOff>
    </xdr:from>
    <xdr:to>
      <xdr:col>7</xdr:col>
      <xdr:colOff>105712</xdr:colOff>
      <xdr:row>3</xdr:row>
      <xdr:rowOff>45675</xdr:rowOff>
    </xdr:to>
    <xdr:sp macro="" textlink="">
      <xdr:nvSpPr>
        <xdr:cNvPr id="17" name="Rectangle à coins arrondis 2">
          <a:hlinkClick xmlns:r="http://schemas.openxmlformats.org/officeDocument/2006/relationships" r:id="rId10" tooltip="Instructions"/>
          <a:extLst>
            <a:ext uri="{FF2B5EF4-FFF2-40B4-BE49-F238E27FC236}">
              <a16:creationId xmlns:a16="http://schemas.microsoft.com/office/drawing/2014/main" id="{C87782EC-9BE8-43F2-AF8F-651CD9C1CDBC}"/>
            </a:ext>
          </a:extLst>
        </xdr:cNvPr>
        <xdr:cNvSpPr>
          <a:spLocks noChangeArrowheads="1"/>
        </xdr:cNvSpPr>
      </xdr:nvSpPr>
      <xdr:spPr bwMode="auto">
        <a:xfrm>
          <a:off x="2905312" y="266700"/>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baseline="0">
              <a:solidFill>
                <a:schemeClr val="bg1"/>
              </a:solidFill>
              <a:effectLst/>
              <a:latin typeface="Arial" panose="020B0604020202020204" pitchFamily="34" charset="0"/>
              <a:ea typeface="+mn-ea"/>
              <a:cs typeface="Arial" panose="020B0604020202020204" pitchFamily="34" charset="0"/>
            </a:rPr>
            <a:t>Instructions</a:t>
          </a:r>
          <a:endParaRPr lang="fr-FR" sz="14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319087</xdr:colOff>
      <xdr:row>1</xdr:row>
      <xdr:rowOff>66675</xdr:rowOff>
    </xdr:from>
    <xdr:to>
      <xdr:col>10</xdr:col>
      <xdr:colOff>110287</xdr:colOff>
      <xdr:row>3</xdr:row>
      <xdr:rowOff>45675</xdr:rowOff>
    </xdr:to>
    <xdr:sp macro="" textlink="">
      <xdr:nvSpPr>
        <xdr:cNvPr id="18" name="Rectangle à coins arrondis 2">
          <a:hlinkClick xmlns:r="http://schemas.openxmlformats.org/officeDocument/2006/relationships" r:id="rId11" tooltip="Recommendations"/>
          <a:extLst>
            <a:ext uri="{FF2B5EF4-FFF2-40B4-BE49-F238E27FC236}">
              <a16:creationId xmlns:a16="http://schemas.microsoft.com/office/drawing/2014/main" id="{B0B9B3FC-3033-452F-B96A-62B206A7A8B5}"/>
            </a:ext>
          </a:extLst>
        </xdr:cNvPr>
        <xdr:cNvSpPr>
          <a:spLocks noChangeArrowheads="1"/>
        </xdr:cNvSpPr>
      </xdr:nvSpPr>
      <xdr:spPr bwMode="auto">
        <a:xfrm>
          <a:off x="4738687" y="266700"/>
          <a:ext cx="1620000" cy="360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baseline="0">
              <a:solidFill>
                <a:schemeClr val="bg1"/>
              </a:solidFill>
              <a:effectLst/>
              <a:latin typeface="Arial" panose="020B0604020202020204" pitchFamily="34" charset="0"/>
              <a:ea typeface="+mn-ea"/>
              <a:cs typeface="Arial" panose="020B0604020202020204" pitchFamily="34" charset="0"/>
            </a:rPr>
            <a:t>Recommendations</a:t>
          </a:r>
          <a:endParaRPr lang="fr-FR" sz="1400" b="0" i="0" u="none" strike="noStrike" baseline="0">
            <a:solidFill>
              <a:schemeClr val="bg1"/>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66675</xdr:colOff>
      <xdr:row>24</xdr:row>
      <xdr:rowOff>209550</xdr:rowOff>
    </xdr:from>
    <xdr:to>
      <xdr:col>15</xdr:col>
      <xdr:colOff>495300</xdr:colOff>
      <xdr:row>28</xdr:row>
      <xdr:rowOff>1</xdr:rowOff>
    </xdr:to>
    <xdr:sp macro="" textlink="">
      <xdr:nvSpPr>
        <xdr:cNvPr id="2" name="Rectangle à coins arrondis 2">
          <a:hlinkClick xmlns:r="http://schemas.openxmlformats.org/officeDocument/2006/relationships" r:id="rId1" tooltip="Resources"/>
          <a:extLst>
            <a:ext uri="{FF2B5EF4-FFF2-40B4-BE49-F238E27FC236}">
              <a16:creationId xmlns:a16="http://schemas.microsoft.com/office/drawing/2014/main" id="{00000000-0008-0000-0A00-000002000000}"/>
            </a:ext>
          </a:extLst>
        </xdr:cNvPr>
        <xdr:cNvSpPr>
          <a:spLocks noChangeArrowheads="1"/>
        </xdr:cNvSpPr>
      </xdr:nvSpPr>
      <xdr:spPr bwMode="auto">
        <a:xfrm>
          <a:off x="7848600" y="5676900"/>
          <a:ext cx="1647825" cy="7048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0</xdr:col>
      <xdr:colOff>209550</xdr:colOff>
      <xdr:row>1</xdr:row>
      <xdr:rowOff>28575</xdr:rowOff>
    </xdr:from>
    <xdr:to>
      <xdr:col>1</xdr:col>
      <xdr:colOff>224550</xdr:colOff>
      <xdr:row>2</xdr:row>
      <xdr:rowOff>195975</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409575"/>
          <a:ext cx="396000" cy="396000"/>
        </a:xfrm>
        <a:prstGeom prst="rect">
          <a:avLst/>
        </a:prstGeom>
      </xdr:spPr>
    </xdr:pic>
    <xdr:clientData/>
  </xdr:twoCellAnchor>
  <xdr:twoCellAnchor>
    <xdr:from>
      <xdr:col>13</xdr:col>
      <xdr:colOff>476251</xdr:colOff>
      <xdr:row>0</xdr:row>
      <xdr:rowOff>38100</xdr:rowOff>
    </xdr:from>
    <xdr:to>
      <xdr:col>15</xdr:col>
      <xdr:colOff>517051</xdr:colOff>
      <xdr:row>0</xdr:row>
      <xdr:rowOff>326100</xdr:rowOff>
    </xdr:to>
    <xdr:sp macro="" textlink="">
      <xdr:nvSpPr>
        <xdr:cNvPr id="8" name="Rectangle à coins arrondis 2">
          <a:hlinkClick xmlns:r="http://schemas.openxmlformats.org/officeDocument/2006/relationships" r:id="rId3" tooltip="Scorecard"/>
          <a:extLst>
            <a:ext uri="{FF2B5EF4-FFF2-40B4-BE49-F238E27FC236}">
              <a16:creationId xmlns:a16="http://schemas.microsoft.com/office/drawing/2014/main" id="{00000000-0008-0000-0A00-000008000000}"/>
            </a:ext>
          </a:extLst>
        </xdr:cNvPr>
        <xdr:cNvSpPr>
          <a:spLocks noChangeArrowheads="1"/>
        </xdr:cNvSpPr>
      </xdr:nvSpPr>
      <xdr:spPr bwMode="auto">
        <a:xfrm>
          <a:off x="8439151"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itchFamily="34" charset="0"/>
              <a:cs typeface="Arial" pitchFamily="34" charset="0"/>
            </a:rPr>
            <a:t>Scorecard</a:t>
          </a:r>
        </a:p>
      </xdr:txBody>
    </xdr:sp>
    <xdr:clientData/>
  </xdr:twoCellAnchor>
  <xdr:twoCellAnchor>
    <xdr:from>
      <xdr:col>11</xdr:col>
      <xdr:colOff>310624</xdr:colOff>
      <xdr:row>0</xdr:row>
      <xdr:rowOff>38100</xdr:rowOff>
    </xdr:from>
    <xdr:to>
      <xdr:col>13</xdr:col>
      <xdr:colOff>351424</xdr:colOff>
      <xdr:row>0</xdr:row>
      <xdr:rowOff>326100</xdr:rowOff>
    </xdr:to>
    <xdr:sp macro="" textlink="">
      <xdr:nvSpPr>
        <xdr:cNvPr id="12" name="Rectangle à coins arrondis 2">
          <a:hlinkClick xmlns:r="http://schemas.openxmlformats.org/officeDocument/2006/relationships" r:id="rId4" tooltip="Instructions"/>
          <a:extLst>
            <a:ext uri="{FF2B5EF4-FFF2-40B4-BE49-F238E27FC236}">
              <a16:creationId xmlns:a16="http://schemas.microsoft.com/office/drawing/2014/main" id="{00000000-0008-0000-0A00-00000C000000}"/>
            </a:ext>
          </a:extLst>
        </xdr:cNvPr>
        <xdr:cNvSpPr>
          <a:spLocks noChangeArrowheads="1"/>
        </xdr:cNvSpPr>
      </xdr:nvSpPr>
      <xdr:spPr bwMode="auto">
        <a:xfrm>
          <a:off x="705432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Instructions</a:t>
          </a:r>
        </a:p>
      </xdr:txBody>
    </xdr:sp>
    <xdr:clientData/>
  </xdr:twoCellAnchor>
  <xdr:twoCellAnchor>
    <xdr:from>
      <xdr:col>9</xdr:col>
      <xdr:colOff>314325</xdr:colOff>
      <xdr:row>0</xdr:row>
      <xdr:rowOff>38100</xdr:rowOff>
    </xdr:from>
    <xdr:to>
      <xdr:col>11</xdr:col>
      <xdr:colOff>183675</xdr:colOff>
      <xdr:row>0</xdr:row>
      <xdr:rowOff>326100</xdr:rowOff>
    </xdr:to>
    <xdr:sp macro="" textlink="">
      <xdr:nvSpPr>
        <xdr:cNvPr id="13" name="Rectangle à coins arrondis 2">
          <a:hlinkClick xmlns:r="http://schemas.openxmlformats.org/officeDocument/2006/relationships" r:id="rId5" tooltip="Introduction"/>
          <a:extLst>
            <a:ext uri="{FF2B5EF4-FFF2-40B4-BE49-F238E27FC236}">
              <a16:creationId xmlns:a16="http://schemas.microsoft.com/office/drawing/2014/main" id="{00000000-0008-0000-0A00-00000D000000}"/>
            </a:ext>
          </a:extLst>
        </xdr:cNvPr>
        <xdr:cNvSpPr>
          <a:spLocks noChangeArrowheads="1"/>
        </xdr:cNvSpPr>
      </xdr:nvSpPr>
      <xdr:spPr bwMode="auto">
        <a:xfrm>
          <a:off x="5667375"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FFAF00"/>
              </a:solidFill>
              <a:latin typeface="Arial" panose="020B0604020202020204" pitchFamily="34" charset="0"/>
              <a:cs typeface="Arial" panose="020B0604020202020204" pitchFamily="34" charset="0"/>
            </a:rPr>
            <a:t>Introduction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66675</xdr:colOff>
      <xdr:row>24</xdr:row>
      <xdr:rowOff>0</xdr:rowOff>
    </xdr:from>
    <xdr:to>
      <xdr:col>15</xdr:col>
      <xdr:colOff>495300</xdr:colOff>
      <xdr:row>27</xdr:row>
      <xdr:rowOff>19051</xdr:rowOff>
    </xdr:to>
    <xdr:sp macro="" textlink="">
      <xdr:nvSpPr>
        <xdr:cNvPr id="2" name="Rectangle à coins arrondis 2">
          <a:hlinkClick xmlns:r="http://schemas.openxmlformats.org/officeDocument/2006/relationships" r:id="rId1" tooltip="Resources"/>
          <a:extLst>
            <a:ext uri="{FF2B5EF4-FFF2-40B4-BE49-F238E27FC236}">
              <a16:creationId xmlns:a16="http://schemas.microsoft.com/office/drawing/2014/main" id="{00000000-0008-0000-0B00-000002000000}"/>
            </a:ext>
          </a:extLst>
        </xdr:cNvPr>
        <xdr:cNvSpPr>
          <a:spLocks noChangeArrowheads="1"/>
        </xdr:cNvSpPr>
      </xdr:nvSpPr>
      <xdr:spPr bwMode="auto">
        <a:xfrm>
          <a:off x="7848600" y="5695950"/>
          <a:ext cx="1647825" cy="7048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xdr:from>
      <xdr:col>13</xdr:col>
      <xdr:colOff>476251</xdr:colOff>
      <xdr:row>0</xdr:row>
      <xdr:rowOff>38100</xdr:rowOff>
    </xdr:from>
    <xdr:to>
      <xdr:col>15</xdr:col>
      <xdr:colOff>517051</xdr:colOff>
      <xdr:row>0</xdr:row>
      <xdr:rowOff>326100</xdr:rowOff>
    </xdr:to>
    <xdr:sp macro="" textlink="">
      <xdr:nvSpPr>
        <xdr:cNvPr id="8" name="Rectangle à coins arrondis 2">
          <a:hlinkClick xmlns:r="http://schemas.openxmlformats.org/officeDocument/2006/relationships" r:id="rId2" tooltip="Scorecard"/>
          <a:extLst>
            <a:ext uri="{FF2B5EF4-FFF2-40B4-BE49-F238E27FC236}">
              <a16:creationId xmlns:a16="http://schemas.microsoft.com/office/drawing/2014/main" id="{00000000-0008-0000-0B00-000008000000}"/>
            </a:ext>
          </a:extLst>
        </xdr:cNvPr>
        <xdr:cNvSpPr>
          <a:spLocks noChangeArrowheads="1"/>
        </xdr:cNvSpPr>
      </xdr:nvSpPr>
      <xdr:spPr bwMode="auto">
        <a:xfrm>
          <a:off x="84486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11</xdr:col>
      <xdr:colOff>310624</xdr:colOff>
      <xdr:row>0</xdr:row>
      <xdr:rowOff>38100</xdr:rowOff>
    </xdr:from>
    <xdr:to>
      <xdr:col>13</xdr:col>
      <xdr:colOff>351424</xdr:colOff>
      <xdr:row>0</xdr:row>
      <xdr:rowOff>326100</xdr:rowOff>
    </xdr:to>
    <xdr:sp macro="" textlink="">
      <xdr:nvSpPr>
        <xdr:cNvPr id="9" name="Rectangle à coins arrondis 2">
          <a:hlinkClick xmlns:r="http://schemas.openxmlformats.org/officeDocument/2006/relationships" r:id="rId3" tooltip="Instructions"/>
          <a:extLst>
            <a:ext uri="{FF2B5EF4-FFF2-40B4-BE49-F238E27FC236}">
              <a16:creationId xmlns:a16="http://schemas.microsoft.com/office/drawing/2014/main" id="{00000000-0008-0000-0B00-000009000000}"/>
            </a:ext>
          </a:extLst>
        </xdr:cNvPr>
        <xdr:cNvSpPr>
          <a:spLocks noChangeArrowheads="1"/>
        </xdr:cNvSpPr>
      </xdr:nvSpPr>
      <xdr:spPr bwMode="auto">
        <a:xfrm>
          <a:off x="7063849"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9</xdr:col>
      <xdr:colOff>342900</xdr:colOff>
      <xdr:row>0</xdr:row>
      <xdr:rowOff>38100</xdr:rowOff>
    </xdr:from>
    <xdr:to>
      <xdr:col>11</xdr:col>
      <xdr:colOff>183675</xdr:colOff>
      <xdr:row>0</xdr:row>
      <xdr:rowOff>326100</xdr:rowOff>
    </xdr:to>
    <xdr:sp macro="" textlink="">
      <xdr:nvSpPr>
        <xdr:cNvPr id="10" name="Rectangle à coins arrondis 2">
          <a:hlinkClick xmlns:r="http://schemas.openxmlformats.org/officeDocument/2006/relationships" r:id="rId4" tooltip="Introduction"/>
          <a:extLst>
            <a:ext uri="{FF2B5EF4-FFF2-40B4-BE49-F238E27FC236}">
              <a16:creationId xmlns:a16="http://schemas.microsoft.com/office/drawing/2014/main" id="{00000000-0008-0000-0B00-00000A000000}"/>
            </a:ext>
          </a:extLst>
        </xdr:cNvPr>
        <xdr:cNvSpPr>
          <a:spLocks noChangeArrowheads="1"/>
        </xdr:cNvSpPr>
      </xdr:nvSpPr>
      <xdr:spPr bwMode="auto">
        <a:xfrm>
          <a:off x="567690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209550</xdr:colOff>
      <xdr:row>1</xdr:row>
      <xdr:rowOff>38100</xdr:rowOff>
    </xdr:from>
    <xdr:to>
      <xdr:col>1</xdr:col>
      <xdr:colOff>224550</xdr:colOff>
      <xdr:row>2</xdr:row>
      <xdr:rowOff>205500</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9550" y="419100"/>
          <a:ext cx="396000" cy="39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558801</xdr:colOff>
      <xdr:row>0</xdr:row>
      <xdr:rowOff>60323</xdr:rowOff>
    </xdr:from>
    <xdr:to>
      <xdr:col>18</xdr:col>
      <xdr:colOff>221826</xdr:colOff>
      <xdr:row>2</xdr:row>
      <xdr:rowOff>74198</xdr:rowOff>
    </xdr:to>
    <xdr:sp macro="" textlink="">
      <xdr:nvSpPr>
        <xdr:cNvPr id="11" name="Rectangle à coins arrondis 2">
          <a:hlinkClick xmlns:r="http://schemas.openxmlformats.org/officeDocument/2006/relationships" r:id="rId1" tooltip="Instructions"/>
          <a:extLst>
            <a:ext uri="{FF2B5EF4-FFF2-40B4-BE49-F238E27FC236}">
              <a16:creationId xmlns:a16="http://schemas.microsoft.com/office/drawing/2014/main" id="{00000000-0008-0000-0C00-00000B000000}"/>
            </a:ext>
          </a:extLst>
        </xdr:cNvPr>
        <xdr:cNvSpPr>
          <a:spLocks noChangeArrowheads="1"/>
        </xdr:cNvSpPr>
      </xdr:nvSpPr>
      <xdr:spPr bwMode="auto">
        <a:xfrm>
          <a:off x="9674226" y="60323"/>
          <a:ext cx="1368000" cy="252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13</xdr:col>
      <xdr:colOff>291567</xdr:colOff>
      <xdr:row>0</xdr:row>
      <xdr:rowOff>60323</xdr:rowOff>
    </xdr:from>
    <xdr:to>
      <xdr:col>15</xdr:col>
      <xdr:colOff>402267</xdr:colOff>
      <xdr:row>2</xdr:row>
      <xdr:rowOff>74198</xdr:rowOff>
    </xdr:to>
    <xdr:sp macro="" textlink="">
      <xdr:nvSpPr>
        <xdr:cNvPr id="14" name="Rectangle à coins arrondis 2">
          <a:hlinkClick xmlns:r="http://schemas.openxmlformats.org/officeDocument/2006/relationships" r:id="rId2" tooltip="Introduction"/>
          <a:extLst>
            <a:ext uri="{FF2B5EF4-FFF2-40B4-BE49-F238E27FC236}">
              <a16:creationId xmlns:a16="http://schemas.microsoft.com/office/drawing/2014/main" id="{00000000-0008-0000-0C00-00000E000000}"/>
            </a:ext>
          </a:extLst>
        </xdr:cNvPr>
        <xdr:cNvSpPr>
          <a:spLocks noChangeArrowheads="1"/>
        </xdr:cNvSpPr>
      </xdr:nvSpPr>
      <xdr:spPr bwMode="auto">
        <a:xfrm>
          <a:off x="8149692" y="60323"/>
          <a:ext cx="1368000" cy="252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editAs="oneCell">
    <xdr:from>
      <xdr:col>20</xdr:col>
      <xdr:colOff>322370</xdr:colOff>
      <xdr:row>3</xdr:row>
      <xdr:rowOff>11395</xdr:rowOff>
    </xdr:from>
    <xdr:to>
      <xdr:col>22</xdr:col>
      <xdr:colOff>313345</xdr:colOff>
      <xdr:row>6</xdr:row>
      <xdr:rowOff>114420</xdr:rowOff>
    </xdr:to>
    <xdr:pic>
      <xdr:nvPicPr>
        <xdr:cNvPr id="15" name="Picture 8" descr="VGBC_logo.jpg">
          <a:hlinkClick xmlns:r="http://schemas.openxmlformats.org/officeDocument/2006/relationships" r:id="rId3"/>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4" cstate="print"/>
        <a:srcRect l="3504" t="7124" r="1892" b="19137"/>
        <a:stretch/>
      </xdr:blipFill>
      <xdr:spPr>
        <a:xfrm>
          <a:off x="12857270" y="411445"/>
          <a:ext cx="1010150" cy="792000"/>
        </a:xfrm>
        <a:prstGeom prst="rect">
          <a:avLst/>
        </a:prstGeom>
      </xdr:spPr>
    </xdr:pic>
    <xdr:clientData/>
  </xdr:twoCellAnchor>
  <xdr:twoCellAnchor>
    <xdr:from>
      <xdr:col>13</xdr:col>
      <xdr:colOff>150286</xdr:colOff>
      <xdr:row>4</xdr:row>
      <xdr:rowOff>59189</xdr:rowOff>
    </xdr:from>
    <xdr:to>
      <xdr:col>21</xdr:col>
      <xdr:colOff>294217</xdr:colOff>
      <xdr:row>27</xdr:row>
      <xdr:rowOff>41271</xdr:rowOff>
    </xdr:to>
    <xdr:graphicFrame macro="">
      <xdr:nvGraphicFramePr>
        <xdr:cNvPr id="2" name="Diagram 1">
          <a:extLst>
            <a:ext uri="{FF2B5EF4-FFF2-40B4-BE49-F238E27FC236}">
              <a16:creationId xmlns:a16="http://schemas.microsoft.com/office/drawing/2014/main" id="{A0F58099-F254-42B0-9775-05564FF8323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18</xdr:col>
      <xdr:colOff>400050</xdr:colOff>
      <xdr:row>0</xdr:row>
      <xdr:rowOff>66675</xdr:rowOff>
    </xdr:from>
    <xdr:to>
      <xdr:col>20</xdr:col>
      <xdr:colOff>472650</xdr:colOff>
      <xdr:row>2</xdr:row>
      <xdr:rowOff>80550</xdr:rowOff>
    </xdr:to>
    <xdr:sp macro="" textlink="">
      <xdr:nvSpPr>
        <xdr:cNvPr id="46" name="Rectangle à coins arrondis 2">
          <a:hlinkClick xmlns:r="http://schemas.openxmlformats.org/officeDocument/2006/relationships" r:id="rId10" tooltip="Graphical Results"/>
          <a:extLst>
            <a:ext uri="{FF2B5EF4-FFF2-40B4-BE49-F238E27FC236}">
              <a16:creationId xmlns:a16="http://schemas.microsoft.com/office/drawing/2014/main" id="{EC081FF8-C4A4-4931-B34B-167E95F25D71}"/>
            </a:ext>
          </a:extLst>
        </xdr:cNvPr>
        <xdr:cNvSpPr>
          <a:spLocks noChangeArrowheads="1"/>
        </xdr:cNvSpPr>
      </xdr:nvSpPr>
      <xdr:spPr bwMode="auto">
        <a:xfrm>
          <a:off x="11220450" y="66675"/>
          <a:ext cx="1368000" cy="252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Graphical Results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123825</xdr:colOff>
      <xdr:row>2</xdr:row>
      <xdr:rowOff>133349</xdr:rowOff>
    </xdr:from>
    <xdr:to>
      <xdr:col>8</xdr:col>
      <xdr:colOff>647700</xdr:colOff>
      <xdr:row>18</xdr:row>
      <xdr:rowOff>38099</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23</xdr:row>
      <xdr:rowOff>47625</xdr:rowOff>
    </xdr:from>
    <xdr:to>
      <xdr:col>5</xdr:col>
      <xdr:colOff>495300</xdr:colOff>
      <xdr:row>37</xdr:row>
      <xdr:rowOff>188625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723900</xdr:colOff>
      <xdr:row>23</xdr:row>
      <xdr:rowOff>28574</xdr:rowOff>
    </xdr:from>
    <xdr:to>
      <xdr:col>11</xdr:col>
      <xdr:colOff>742949</xdr:colOff>
      <xdr:row>38</xdr:row>
      <xdr:rowOff>133349</xdr:rowOff>
    </xdr:to>
    <xdr:graphicFrame macro="">
      <xdr:nvGraphicFramePr>
        <xdr:cNvPr id="7" name="Graphique 6">
          <a:extLst>
            <a:ext uri="{FF2B5EF4-FFF2-40B4-BE49-F238E27FC236}">
              <a16:creationId xmlns:a16="http://schemas.microsoft.com/office/drawing/2014/main" id="{00000000-0008-0000-0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152401</xdr:colOff>
      <xdr:row>0</xdr:row>
      <xdr:rowOff>57150</xdr:rowOff>
    </xdr:from>
    <xdr:to>
      <xdr:col>11</xdr:col>
      <xdr:colOff>650401</xdr:colOff>
      <xdr:row>0</xdr:row>
      <xdr:rowOff>345150</xdr:rowOff>
    </xdr:to>
    <xdr:sp macro="" textlink="">
      <xdr:nvSpPr>
        <xdr:cNvPr id="9" name="Rectangle à coins arrondis 2">
          <a:hlinkClick xmlns:r="http://schemas.openxmlformats.org/officeDocument/2006/relationships" r:id="rId4" tooltip="Scorecard"/>
          <a:extLst>
            <a:ext uri="{FF2B5EF4-FFF2-40B4-BE49-F238E27FC236}">
              <a16:creationId xmlns:a16="http://schemas.microsoft.com/office/drawing/2014/main" id="{00000000-0008-0000-0D00-000009000000}"/>
            </a:ext>
          </a:extLst>
        </xdr:cNvPr>
        <xdr:cNvSpPr>
          <a:spLocks noChangeArrowheads="1"/>
        </xdr:cNvSpPr>
      </xdr:nvSpPr>
      <xdr:spPr bwMode="auto">
        <a:xfrm>
          <a:off x="7772401"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8</xdr:col>
      <xdr:colOff>262999</xdr:colOff>
      <xdr:row>0</xdr:row>
      <xdr:rowOff>57150</xdr:rowOff>
    </xdr:from>
    <xdr:to>
      <xdr:col>9</xdr:col>
      <xdr:colOff>760999</xdr:colOff>
      <xdr:row>0</xdr:row>
      <xdr:rowOff>345150</xdr:rowOff>
    </xdr:to>
    <xdr:sp macro="" textlink="">
      <xdr:nvSpPr>
        <xdr:cNvPr id="10" name="Rectangle à coins arrondis 2">
          <a:hlinkClick xmlns:r="http://schemas.openxmlformats.org/officeDocument/2006/relationships" r:id="rId5" tooltip="Instructions"/>
          <a:extLst>
            <a:ext uri="{FF2B5EF4-FFF2-40B4-BE49-F238E27FC236}">
              <a16:creationId xmlns:a16="http://schemas.microsoft.com/office/drawing/2014/main" id="{00000000-0008-0000-0D00-00000A000000}"/>
            </a:ext>
          </a:extLst>
        </xdr:cNvPr>
        <xdr:cNvSpPr>
          <a:spLocks noChangeArrowheads="1"/>
        </xdr:cNvSpPr>
      </xdr:nvSpPr>
      <xdr:spPr bwMode="auto">
        <a:xfrm>
          <a:off x="6358999"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6</xdr:col>
      <xdr:colOff>390525</xdr:colOff>
      <xdr:row>0</xdr:row>
      <xdr:rowOff>57150</xdr:rowOff>
    </xdr:from>
    <xdr:to>
      <xdr:col>8</xdr:col>
      <xdr:colOff>126525</xdr:colOff>
      <xdr:row>0</xdr:row>
      <xdr:rowOff>345150</xdr:rowOff>
    </xdr:to>
    <xdr:sp macro="" textlink="">
      <xdr:nvSpPr>
        <xdr:cNvPr id="11" name="Rectangle à coins arrondis 2">
          <a:hlinkClick xmlns:r="http://schemas.openxmlformats.org/officeDocument/2006/relationships" r:id="rId6" tooltip="Introduction"/>
          <a:extLst>
            <a:ext uri="{FF2B5EF4-FFF2-40B4-BE49-F238E27FC236}">
              <a16:creationId xmlns:a16="http://schemas.microsoft.com/office/drawing/2014/main" id="{00000000-0008-0000-0D00-00000B000000}"/>
            </a:ext>
          </a:extLst>
        </xdr:cNvPr>
        <xdr:cNvSpPr>
          <a:spLocks noChangeArrowheads="1"/>
        </xdr:cNvSpPr>
      </xdr:nvSpPr>
      <xdr:spPr bwMode="auto">
        <a:xfrm>
          <a:off x="4962525"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0.76984</cdr:x>
      <cdr:y>0.30773</cdr:y>
    </cdr:from>
    <cdr:to>
      <cdr:x>1</cdr:x>
      <cdr:y>0.38794</cdr:y>
    </cdr:to>
    <cdr:sp macro="" textlink="">
      <cdr:nvSpPr>
        <cdr:cNvPr id="2" name="ZoneTexte 1"/>
        <cdr:cNvSpPr txBox="1"/>
      </cdr:nvSpPr>
      <cdr:spPr>
        <a:xfrm xmlns:a="http://schemas.openxmlformats.org/drawingml/2006/main">
          <a:off x="3182402" y="841951"/>
          <a:ext cx="951447" cy="219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Uncertified</a:t>
          </a:r>
        </a:p>
      </cdr:txBody>
    </cdr:sp>
  </cdr:relSizeAnchor>
  <cdr:relSizeAnchor xmlns:cdr="http://schemas.openxmlformats.org/drawingml/2006/chartDrawing">
    <cdr:from>
      <cdr:x>0.55306</cdr:x>
      <cdr:y>0.87867</cdr:y>
    </cdr:from>
    <cdr:to>
      <cdr:x>0.76556</cdr:x>
      <cdr:y>0.95159</cdr:y>
    </cdr:to>
    <cdr:sp macro="" textlink="">
      <cdr:nvSpPr>
        <cdr:cNvPr id="3" name="ZoneTexte 1"/>
        <cdr:cNvSpPr txBox="1"/>
      </cdr:nvSpPr>
      <cdr:spPr>
        <a:xfrm xmlns:a="http://schemas.openxmlformats.org/drawingml/2006/main">
          <a:off x="2286282" y="2404046"/>
          <a:ext cx="878443" cy="1995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b="1">
              <a:solidFill>
                <a:srgbClr val="58B527"/>
              </a:solidFill>
            </a:rPr>
            <a:t>Certified</a:t>
          </a:r>
          <a:endParaRPr lang="fr-FR" sz="1100" b="1">
            <a:solidFill>
              <a:srgbClr val="58B527"/>
            </a:solidFill>
          </a:endParaRPr>
        </a:p>
      </cdr:txBody>
    </cdr:sp>
  </cdr:relSizeAnchor>
  <cdr:relSizeAnchor xmlns:cdr="http://schemas.openxmlformats.org/drawingml/2006/chartDrawing">
    <cdr:from>
      <cdr:x>0.26245</cdr:x>
      <cdr:y>0.85793</cdr:y>
    </cdr:from>
    <cdr:to>
      <cdr:x>0.47495</cdr:x>
      <cdr:y>0.93085</cdr:y>
    </cdr:to>
    <cdr:sp macro="" textlink="">
      <cdr:nvSpPr>
        <cdr:cNvPr id="4" name="ZoneTexte 1"/>
        <cdr:cNvSpPr txBox="1"/>
      </cdr:nvSpPr>
      <cdr:spPr>
        <a:xfrm xmlns:a="http://schemas.openxmlformats.org/drawingml/2006/main">
          <a:off x="1084937" y="2347295"/>
          <a:ext cx="878443" cy="1995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bg1">
                  <a:lumMod val="50000"/>
                </a:schemeClr>
              </a:solidFill>
            </a:rPr>
            <a:t>Silver</a:t>
          </a:r>
          <a:endParaRPr lang="fr-FR" sz="1100" b="1">
            <a:solidFill>
              <a:schemeClr val="bg1">
                <a:lumMod val="50000"/>
              </a:schemeClr>
            </a:solidFill>
          </a:endParaRPr>
        </a:p>
      </cdr:txBody>
    </cdr:sp>
  </cdr:relSizeAnchor>
  <cdr:relSizeAnchor xmlns:cdr="http://schemas.openxmlformats.org/drawingml/2006/chartDrawing">
    <cdr:from>
      <cdr:x>0.06426</cdr:x>
      <cdr:y>0.13126</cdr:y>
    </cdr:from>
    <cdr:to>
      <cdr:x>0.27676</cdr:x>
      <cdr:y>0.20418</cdr:y>
    </cdr:to>
    <cdr:sp macro="" textlink="">
      <cdr:nvSpPr>
        <cdr:cNvPr id="5" name="ZoneTexte 1"/>
        <cdr:cNvSpPr txBox="1"/>
      </cdr:nvSpPr>
      <cdr:spPr>
        <a:xfrm xmlns:a="http://schemas.openxmlformats.org/drawingml/2006/main">
          <a:off x="265653" y="359122"/>
          <a:ext cx="878443" cy="1995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b="1">
              <a:solidFill>
                <a:schemeClr val="accent5">
                  <a:lumMod val="50000"/>
                </a:schemeClr>
              </a:solidFill>
            </a:rPr>
            <a:t>Platinum</a:t>
          </a:r>
          <a:endParaRPr lang="fr-FR" sz="1100" b="1">
            <a:solidFill>
              <a:schemeClr val="accent5">
                <a:lumMod val="50000"/>
              </a:schemeClr>
            </a:solidFill>
          </a:endParaRPr>
        </a:p>
      </cdr:txBody>
    </cdr:sp>
  </cdr:relSizeAnchor>
  <cdr:relSizeAnchor xmlns:cdr="http://schemas.openxmlformats.org/drawingml/2006/chartDrawing">
    <cdr:from>
      <cdr:x>0.02476</cdr:x>
      <cdr:y>0.62108</cdr:y>
    </cdr:from>
    <cdr:to>
      <cdr:x>0.23726</cdr:x>
      <cdr:y>0.694</cdr:y>
    </cdr:to>
    <cdr:sp macro="" textlink="">
      <cdr:nvSpPr>
        <cdr:cNvPr id="6" name="ZoneTexte 1"/>
        <cdr:cNvSpPr txBox="1"/>
      </cdr:nvSpPr>
      <cdr:spPr>
        <a:xfrm xmlns:a="http://schemas.openxmlformats.org/drawingml/2006/main">
          <a:off x="102361" y="1699282"/>
          <a:ext cx="878442" cy="1995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a:solidFill>
                <a:srgbClr val="FFC000"/>
              </a:solidFill>
            </a:rPr>
            <a:t>Gold</a:t>
          </a:r>
          <a:endParaRPr lang="fr-FR" sz="1100" b="1">
            <a:solidFill>
              <a:srgbClr val="FFC000"/>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52913</xdr:colOff>
      <xdr:row>11</xdr:row>
      <xdr:rowOff>42332</xdr:rowOff>
    </xdr:from>
    <xdr:to>
      <xdr:col>1</xdr:col>
      <xdr:colOff>1969413</xdr:colOff>
      <xdr:row>13</xdr:row>
      <xdr:rowOff>57332</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0E00-000003000000}"/>
            </a:ext>
          </a:extLst>
        </xdr:cNvPr>
        <xdr:cNvSpPr>
          <a:spLocks noChangeArrowheads="1"/>
        </xdr:cNvSpPr>
      </xdr:nvSpPr>
      <xdr:spPr bwMode="auto">
        <a:xfrm>
          <a:off x="370413" y="2899832"/>
          <a:ext cx="19165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117531</xdr:colOff>
      <xdr:row>0</xdr:row>
      <xdr:rowOff>74082</xdr:rowOff>
    </xdr:from>
    <xdr:to>
      <xdr:col>11</xdr:col>
      <xdr:colOff>148169</xdr:colOff>
      <xdr:row>2</xdr:row>
      <xdr:rowOff>179958</xdr:rowOff>
    </xdr:to>
    <xdr:pic>
      <xdr:nvPicPr>
        <xdr:cNvPr id="4" name="Image 4" descr="Energy.pn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9769531" y="74082"/>
          <a:ext cx="887888" cy="899626"/>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914400</xdr:colOff>
      <xdr:row>1</xdr:row>
      <xdr:rowOff>142875</xdr:rowOff>
    </xdr:from>
    <xdr:to>
      <xdr:col>5</xdr:col>
      <xdr:colOff>747600</xdr:colOff>
      <xdr:row>3</xdr:row>
      <xdr:rowOff>49875</xdr:rowOff>
    </xdr:to>
    <xdr:sp macro="" textlink="">
      <xdr:nvSpPr>
        <xdr:cNvPr id="5" name="Rectangle à coins arrondis 2">
          <a:hlinkClick xmlns:r="http://schemas.openxmlformats.org/officeDocument/2006/relationships" r:id="rId1" tooltip="Strategy A"/>
          <a:extLst>
            <a:ext uri="{FF2B5EF4-FFF2-40B4-BE49-F238E27FC236}">
              <a16:creationId xmlns:a16="http://schemas.microsoft.com/office/drawing/2014/main" id="{00000000-0008-0000-0F00-000005000000}"/>
            </a:ext>
          </a:extLst>
        </xdr:cNvPr>
        <xdr:cNvSpPr>
          <a:spLocks noChangeArrowheads="1"/>
        </xdr:cNvSpPr>
      </xdr:nvSpPr>
      <xdr:spPr bwMode="auto">
        <a:xfrm>
          <a:off x="4829175" y="466725"/>
          <a:ext cx="90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857249</xdr:colOff>
      <xdr:row>1</xdr:row>
      <xdr:rowOff>142875</xdr:rowOff>
    </xdr:from>
    <xdr:to>
      <xdr:col>6</xdr:col>
      <xdr:colOff>690449</xdr:colOff>
      <xdr:row>3</xdr:row>
      <xdr:rowOff>49875</xdr:rowOff>
    </xdr:to>
    <xdr:sp macro="" textlink="">
      <xdr:nvSpPr>
        <xdr:cNvPr id="6" name="Rectangle à coins arrondis 2">
          <a:hlinkClick xmlns:r="http://schemas.openxmlformats.org/officeDocument/2006/relationships" r:id="rId2" tooltip="Strategy B"/>
          <a:extLst>
            <a:ext uri="{FF2B5EF4-FFF2-40B4-BE49-F238E27FC236}">
              <a16:creationId xmlns:a16="http://schemas.microsoft.com/office/drawing/2014/main" id="{00000000-0008-0000-0F00-000006000000}"/>
            </a:ext>
          </a:extLst>
        </xdr:cNvPr>
        <xdr:cNvSpPr>
          <a:spLocks noChangeArrowheads="1"/>
        </xdr:cNvSpPr>
      </xdr:nvSpPr>
      <xdr:spPr bwMode="auto">
        <a:xfrm>
          <a:off x="5838824" y="466725"/>
          <a:ext cx="90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0</xdr:col>
      <xdr:colOff>219075</xdr:colOff>
      <xdr:row>1</xdr:row>
      <xdr:rowOff>114301</xdr:rowOff>
    </xdr:from>
    <xdr:to>
      <xdr:col>2</xdr:col>
      <xdr:colOff>656025</xdr:colOff>
      <xdr:row>3</xdr:row>
      <xdr:rowOff>57301</xdr:rowOff>
    </xdr:to>
    <xdr:sp macro="" textlink="">
      <xdr:nvSpPr>
        <xdr:cNvPr id="8" name="Rectangle à coins arrondis 2">
          <a:hlinkClick xmlns:r="http://schemas.openxmlformats.org/officeDocument/2006/relationships" r:id="rId3" tooltip="Back to Energy"/>
          <a:extLst>
            <a:ext uri="{FF2B5EF4-FFF2-40B4-BE49-F238E27FC236}">
              <a16:creationId xmlns:a16="http://schemas.microsoft.com/office/drawing/2014/main" id="{00000000-0008-0000-0F00-000008000000}"/>
            </a:ext>
          </a:extLst>
        </xdr:cNvPr>
        <xdr:cNvSpPr>
          <a:spLocks noChangeArrowheads="1"/>
        </xdr:cNvSpPr>
      </xdr:nvSpPr>
      <xdr:spPr bwMode="auto">
        <a:xfrm>
          <a:off x="219075"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914400</xdr:colOff>
      <xdr:row>1</xdr:row>
      <xdr:rowOff>114300</xdr:rowOff>
    </xdr:from>
    <xdr:to>
      <xdr:col>4</xdr:col>
      <xdr:colOff>398850</xdr:colOff>
      <xdr:row>3</xdr:row>
      <xdr:rowOff>57300</xdr:rowOff>
    </xdr:to>
    <xdr:sp macro="" textlink="">
      <xdr:nvSpPr>
        <xdr:cNvPr id="9" name="Rectangle à coins arrondis 2">
          <a:hlinkClick xmlns:r="http://schemas.openxmlformats.org/officeDocument/2006/relationships" r:id="rId4" tooltip="See the Scorecard"/>
          <a:extLst>
            <a:ext uri="{FF2B5EF4-FFF2-40B4-BE49-F238E27FC236}">
              <a16:creationId xmlns:a16="http://schemas.microsoft.com/office/drawing/2014/main" id="{00000000-0008-0000-0F00-000009000000}"/>
            </a:ext>
          </a:extLst>
        </xdr:cNvPr>
        <xdr:cNvSpPr>
          <a:spLocks noChangeArrowheads="1"/>
        </xdr:cNvSpPr>
      </xdr:nvSpPr>
      <xdr:spPr bwMode="auto">
        <a:xfrm>
          <a:off x="24574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809625</xdr:colOff>
      <xdr:row>1</xdr:row>
      <xdr:rowOff>142875</xdr:rowOff>
    </xdr:from>
    <xdr:to>
      <xdr:col>7</xdr:col>
      <xdr:colOff>490425</xdr:colOff>
      <xdr:row>3</xdr:row>
      <xdr:rowOff>49875</xdr:rowOff>
    </xdr:to>
    <xdr:sp macro="" textlink="">
      <xdr:nvSpPr>
        <xdr:cNvPr id="7" name="Rectangle à coins arrondis 2">
          <a:hlinkClick xmlns:r="http://schemas.openxmlformats.org/officeDocument/2006/relationships" r:id="rId5" tooltip="Strategy A"/>
          <a:extLst>
            <a:ext uri="{FF2B5EF4-FFF2-40B4-BE49-F238E27FC236}">
              <a16:creationId xmlns:a16="http://schemas.microsoft.com/office/drawing/2014/main" id="{00000000-0008-0000-0F00-000007000000}"/>
            </a:ext>
          </a:extLst>
        </xdr:cNvPr>
        <xdr:cNvSpPr>
          <a:spLocks noChangeArrowheads="1"/>
        </xdr:cNvSpPr>
      </xdr:nvSpPr>
      <xdr:spPr bwMode="auto">
        <a:xfrm>
          <a:off x="6858000" y="466725"/>
          <a:ext cx="90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7</xdr:col>
      <xdr:colOff>590549</xdr:colOff>
      <xdr:row>1</xdr:row>
      <xdr:rowOff>142875</xdr:rowOff>
    </xdr:from>
    <xdr:to>
      <xdr:col>8</xdr:col>
      <xdr:colOff>423749</xdr:colOff>
      <xdr:row>3</xdr:row>
      <xdr:rowOff>49875</xdr:rowOff>
    </xdr:to>
    <xdr:sp macro="" textlink="">
      <xdr:nvSpPr>
        <xdr:cNvPr id="10" name="Rectangle à coins arrondis 2">
          <a:hlinkClick xmlns:r="http://schemas.openxmlformats.org/officeDocument/2006/relationships" r:id="rId6" tooltip="Strategy D"/>
          <a:extLst>
            <a:ext uri="{FF2B5EF4-FFF2-40B4-BE49-F238E27FC236}">
              <a16:creationId xmlns:a16="http://schemas.microsoft.com/office/drawing/2014/main" id="{00000000-0008-0000-0F00-00000A000000}"/>
            </a:ext>
          </a:extLst>
        </xdr:cNvPr>
        <xdr:cNvSpPr>
          <a:spLocks noChangeArrowheads="1"/>
        </xdr:cNvSpPr>
      </xdr:nvSpPr>
      <xdr:spPr bwMode="auto">
        <a:xfrm>
          <a:off x="7858124" y="466725"/>
          <a:ext cx="90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8</xdr:col>
      <xdr:colOff>495300</xdr:colOff>
      <xdr:row>1</xdr:row>
      <xdr:rowOff>142875</xdr:rowOff>
    </xdr:from>
    <xdr:to>
      <xdr:col>9</xdr:col>
      <xdr:colOff>214200</xdr:colOff>
      <xdr:row>3</xdr:row>
      <xdr:rowOff>49875</xdr:rowOff>
    </xdr:to>
    <xdr:sp macro="" textlink="">
      <xdr:nvSpPr>
        <xdr:cNvPr id="11" name="Rectangle à coins arrondis 2">
          <a:hlinkClick xmlns:r="http://schemas.openxmlformats.org/officeDocument/2006/relationships" r:id="rId7" tooltip="Strategy E"/>
          <a:extLst>
            <a:ext uri="{FF2B5EF4-FFF2-40B4-BE49-F238E27FC236}">
              <a16:creationId xmlns:a16="http://schemas.microsoft.com/office/drawing/2014/main" id="{00000000-0008-0000-0F00-00000B000000}"/>
            </a:ext>
          </a:extLst>
        </xdr:cNvPr>
        <xdr:cNvSpPr>
          <a:spLocks noChangeArrowheads="1"/>
        </xdr:cNvSpPr>
      </xdr:nvSpPr>
      <xdr:spPr bwMode="auto">
        <a:xfrm>
          <a:off x="8848725" y="466725"/>
          <a:ext cx="90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114300</xdr:colOff>
      <xdr:row>184</xdr:row>
      <xdr:rowOff>19050</xdr:rowOff>
    </xdr:from>
    <xdr:to>
      <xdr:col>1</xdr:col>
      <xdr:colOff>474300</xdr:colOff>
      <xdr:row>185</xdr:row>
      <xdr:rowOff>159975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950" y="43338750"/>
          <a:ext cx="360000" cy="360000"/>
        </a:xfrm>
        <a:prstGeom prst="rect">
          <a:avLst/>
        </a:prstGeom>
      </xdr:spPr>
    </xdr:pic>
    <xdr:clientData/>
  </xdr:twoCellAnchor>
  <xdr:twoCellAnchor editAs="oneCell">
    <xdr:from>
      <xdr:col>1</xdr:col>
      <xdr:colOff>28575</xdr:colOff>
      <xdr:row>282</xdr:row>
      <xdr:rowOff>76200</xdr:rowOff>
    </xdr:from>
    <xdr:to>
      <xdr:col>1</xdr:col>
      <xdr:colOff>388575</xdr:colOff>
      <xdr:row>284</xdr:row>
      <xdr:rowOff>17100</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225" y="26041350"/>
          <a:ext cx="360000" cy="360000"/>
        </a:xfrm>
        <a:prstGeom prst="rect">
          <a:avLst/>
        </a:prstGeom>
      </xdr:spPr>
    </xdr:pic>
    <xdr:clientData/>
  </xdr:twoCellAnchor>
  <xdr:twoCellAnchor editAs="oneCell">
    <xdr:from>
      <xdr:col>1</xdr:col>
      <xdr:colOff>38100</xdr:colOff>
      <xdr:row>332</xdr:row>
      <xdr:rowOff>104775</xdr:rowOff>
    </xdr:from>
    <xdr:to>
      <xdr:col>1</xdr:col>
      <xdr:colOff>398100</xdr:colOff>
      <xdr:row>334</xdr:row>
      <xdr:rowOff>64725</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66817875"/>
          <a:ext cx="360000" cy="360000"/>
        </a:xfrm>
        <a:prstGeom prst="rect">
          <a:avLst/>
        </a:prstGeom>
      </xdr:spPr>
    </xdr:pic>
    <xdr:clientData/>
  </xdr:twoCellAnchor>
  <xdr:twoCellAnchor editAs="oneCell">
    <xdr:from>
      <xdr:col>1</xdr:col>
      <xdr:colOff>47625</xdr:colOff>
      <xdr:row>284</xdr:row>
      <xdr:rowOff>123825</xdr:rowOff>
    </xdr:from>
    <xdr:to>
      <xdr:col>1</xdr:col>
      <xdr:colOff>407625</xdr:colOff>
      <xdr:row>286</xdr:row>
      <xdr:rowOff>102825</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28203525"/>
          <a:ext cx="360000" cy="360000"/>
        </a:xfrm>
        <a:prstGeom prst="rect">
          <a:avLst/>
        </a:prstGeom>
      </xdr:spPr>
    </xdr:pic>
    <xdr:clientData/>
  </xdr:twoCellAnchor>
  <xdr:twoCellAnchor editAs="oneCell">
    <xdr:from>
      <xdr:col>1</xdr:col>
      <xdr:colOff>47625</xdr:colOff>
      <xdr:row>288</xdr:row>
      <xdr:rowOff>85725</xdr:rowOff>
    </xdr:from>
    <xdr:to>
      <xdr:col>1</xdr:col>
      <xdr:colOff>407625</xdr:colOff>
      <xdr:row>290</xdr:row>
      <xdr:rowOff>112350</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57588150"/>
          <a:ext cx="360000" cy="360000"/>
        </a:xfrm>
        <a:prstGeom prst="rect">
          <a:avLst/>
        </a:prstGeom>
      </xdr:spPr>
    </xdr:pic>
    <xdr:clientData/>
  </xdr:twoCellAnchor>
  <xdr:oneCellAnchor>
    <xdr:from>
      <xdr:col>1</xdr:col>
      <xdr:colOff>47625</xdr:colOff>
      <xdr:row>294</xdr:row>
      <xdr:rowOff>123825</xdr:rowOff>
    </xdr:from>
    <xdr:ext cx="360000" cy="360000"/>
    <xdr:pic>
      <xdr:nvPicPr>
        <xdr:cNvPr id="21" name="Picture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8584525"/>
          <a:ext cx="360000" cy="360000"/>
        </a:xfrm>
        <a:prstGeom prst="rect">
          <a:avLst/>
        </a:prstGeom>
      </xdr:spPr>
    </xdr:pic>
    <xdr:clientData/>
  </xdr:oneCellAnchor>
  <xdr:twoCellAnchor editAs="oneCell">
    <xdr:from>
      <xdr:col>1</xdr:col>
      <xdr:colOff>28576</xdr:colOff>
      <xdr:row>287</xdr:row>
      <xdr:rowOff>190500</xdr:rowOff>
    </xdr:from>
    <xdr:to>
      <xdr:col>1</xdr:col>
      <xdr:colOff>503242</xdr:colOff>
      <xdr:row>287</xdr:row>
      <xdr:rowOff>658500</xdr:rowOff>
    </xdr:to>
    <xdr:pic>
      <xdr:nvPicPr>
        <xdr:cNvPr id="20" name="Pictur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6" y="33728025"/>
          <a:ext cx="474666" cy="468000"/>
        </a:xfrm>
        <a:prstGeom prst="rect">
          <a:avLst/>
        </a:prstGeom>
      </xdr:spPr>
    </xdr:pic>
    <xdr:clientData/>
  </xdr:twoCellAnchor>
  <xdr:twoCellAnchor editAs="oneCell">
    <xdr:from>
      <xdr:col>1</xdr:col>
      <xdr:colOff>47625</xdr:colOff>
      <xdr:row>400</xdr:row>
      <xdr:rowOff>161925</xdr:rowOff>
    </xdr:from>
    <xdr:to>
      <xdr:col>1</xdr:col>
      <xdr:colOff>407625</xdr:colOff>
      <xdr:row>402</xdr:row>
      <xdr:rowOff>64725</xdr:rowOff>
    </xdr:to>
    <xdr:pic>
      <xdr:nvPicPr>
        <xdr:cNvPr id="22" name="Picture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78619350"/>
          <a:ext cx="360000" cy="360000"/>
        </a:xfrm>
        <a:prstGeom prst="rect">
          <a:avLst/>
        </a:prstGeom>
      </xdr:spPr>
    </xdr:pic>
    <xdr:clientData/>
  </xdr:twoCellAnchor>
  <xdr:twoCellAnchor editAs="oneCell">
    <xdr:from>
      <xdr:col>1</xdr:col>
      <xdr:colOff>38100</xdr:colOff>
      <xdr:row>411</xdr:row>
      <xdr:rowOff>95250</xdr:rowOff>
    </xdr:from>
    <xdr:to>
      <xdr:col>1</xdr:col>
      <xdr:colOff>398100</xdr:colOff>
      <xdr:row>413</xdr:row>
      <xdr:rowOff>74250</xdr:rowOff>
    </xdr:to>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80924400"/>
          <a:ext cx="360000" cy="360000"/>
        </a:xfrm>
        <a:prstGeom prst="rect">
          <a:avLst/>
        </a:prstGeom>
      </xdr:spPr>
    </xdr:pic>
    <xdr:clientData/>
  </xdr:twoCellAnchor>
  <xdr:twoCellAnchor editAs="oneCell">
    <xdr:from>
      <xdr:col>1</xdr:col>
      <xdr:colOff>57150</xdr:colOff>
      <xdr:row>428</xdr:row>
      <xdr:rowOff>114300</xdr:rowOff>
    </xdr:from>
    <xdr:to>
      <xdr:col>1</xdr:col>
      <xdr:colOff>417150</xdr:colOff>
      <xdr:row>430</xdr:row>
      <xdr:rowOff>64725</xdr:rowOff>
    </xdr:to>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56216550"/>
          <a:ext cx="360000" cy="360000"/>
        </a:xfrm>
        <a:prstGeom prst="rect">
          <a:avLst/>
        </a:prstGeom>
      </xdr:spPr>
    </xdr:pic>
    <xdr:clientData/>
  </xdr:twoCellAnchor>
  <xdr:twoCellAnchor editAs="oneCell">
    <xdr:from>
      <xdr:col>1</xdr:col>
      <xdr:colOff>19050</xdr:colOff>
      <xdr:row>81</xdr:row>
      <xdr:rowOff>85725</xdr:rowOff>
    </xdr:from>
    <xdr:to>
      <xdr:col>1</xdr:col>
      <xdr:colOff>415050</xdr:colOff>
      <xdr:row>83</xdr:row>
      <xdr:rowOff>100725</xdr:rowOff>
    </xdr:to>
    <xdr:pic>
      <xdr:nvPicPr>
        <xdr:cNvPr id="25" name="Picture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7000875"/>
          <a:ext cx="396000" cy="396000"/>
        </a:xfrm>
        <a:prstGeom prst="rect">
          <a:avLst/>
        </a:prstGeom>
      </xdr:spPr>
    </xdr:pic>
    <xdr:clientData/>
  </xdr:twoCellAnchor>
  <xdr:twoCellAnchor editAs="oneCell">
    <xdr:from>
      <xdr:col>1</xdr:col>
      <xdr:colOff>104775</xdr:colOff>
      <xdr:row>210</xdr:row>
      <xdr:rowOff>104775</xdr:rowOff>
    </xdr:from>
    <xdr:to>
      <xdr:col>1</xdr:col>
      <xdr:colOff>464775</xdr:colOff>
      <xdr:row>212</xdr:row>
      <xdr:rowOff>83775</xdr:rowOff>
    </xdr:to>
    <xdr:pic>
      <xdr:nvPicPr>
        <xdr:cNvPr id="26" name="Picture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425" y="49672875"/>
          <a:ext cx="360000" cy="360000"/>
        </a:xfrm>
        <a:prstGeom prst="rect">
          <a:avLst/>
        </a:prstGeom>
      </xdr:spPr>
    </xdr:pic>
    <xdr:clientData/>
  </xdr:twoCellAnchor>
  <xdr:oneCellAnchor>
    <xdr:from>
      <xdr:col>1</xdr:col>
      <xdr:colOff>28575</xdr:colOff>
      <xdr:row>95</xdr:row>
      <xdr:rowOff>152400</xdr:rowOff>
    </xdr:from>
    <xdr:ext cx="396000" cy="396000"/>
    <xdr:pic>
      <xdr:nvPicPr>
        <xdr:cNvPr id="27" name="Picture 2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8039100"/>
          <a:ext cx="396000" cy="396000"/>
        </a:xfrm>
        <a:prstGeom prst="rect">
          <a:avLst/>
        </a:prstGeom>
      </xdr:spPr>
    </xdr:pic>
    <xdr:clientData/>
  </xdr:oneCellAnchor>
  <xdr:twoCellAnchor editAs="oneCell">
    <xdr:from>
      <xdr:col>1</xdr:col>
      <xdr:colOff>57150</xdr:colOff>
      <xdr:row>357</xdr:row>
      <xdr:rowOff>95250</xdr:rowOff>
    </xdr:from>
    <xdr:to>
      <xdr:col>1</xdr:col>
      <xdr:colOff>669150</xdr:colOff>
      <xdr:row>360</xdr:row>
      <xdr:rowOff>97650</xdr:rowOff>
    </xdr:to>
    <xdr:pic>
      <xdr:nvPicPr>
        <xdr:cNvPr id="29" name="Picture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46567725"/>
          <a:ext cx="612000" cy="612000"/>
        </a:xfrm>
        <a:prstGeom prst="rect">
          <a:avLst/>
        </a:prstGeom>
      </xdr:spPr>
    </xdr:pic>
    <xdr:clientData/>
  </xdr:twoCellAnchor>
  <xdr:oneCellAnchor>
    <xdr:from>
      <xdr:col>1</xdr:col>
      <xdr:colOff>28575</xdr:colOff>
      <xdr:row>337</xdr:row>
      <xdr:rowOff>28575</xdr:rowOff>
    </xdr:from>
    <xdr:ext cx="360000" cy="360000"/>
    <xdr:pic>
      <xdr:nvPicPr>
        <xdr:cNvPr id="30" name="Picture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67656075"/>
          <a:ext cx="360000" cy="360000"/>
        </a:xfrm>
        <a:prstGeom prst="rect">
          <a:avLst/>
        </a:prstGeom>
      </xdr:spPr>
    </xdr:pic>
    <xdr:clientData/>
  </xdr:oneCellAnchor>
  <xdr:oneCellAnchor>
    <xdr:from>
      <xdr:col>1</xdr:col>
      <xdr:colOff>47625</xdr:colOff>
      <xdr:row>364</xdr:row>
      <xdr:rowOff>142875</xdr:rowOff>
    </xdr:from>
    <xdr:ext cx="360000" cy="360000"/>
    <xdr:pic>
      <xdr:nvPicPr>
        <xdr:cNvPr id="31" name="Picture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70513575"/>
          <a:ext cx="360000" cy="360000"/>
        </a:xfrm>
        <a:prstGeom prst="rect">
          <a:avLst/>
        </a:prstGeom>
      </xdr:spPr>
    </xdr:pic>
    <xdr:clientData/>
  </xdr:oneCellAnchor>
  <xdr:oneCellAnchor>
    <xdr:from>
      <xdr:col>1</xdr:col>
      <xdr:colOff>47625</xdr:colOff>
      <xdr:row>404</xdr:row>
      <xdr:rowOff>180975</xdr:rowOff>
    </xdr:from>
    <xdr:ext cx="360000" cy="360000"/>
    <xdr:pic>
      <xdr:nvPicPr>
        <xdr:cNvPr id="32" name="Picture 31">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58054875"/>
          <a:ext cx="360000" cy="360000"/>
        </a:xfrm>
        <a:prstGeom prst="rect">
          <a:avLst/>
        </a:prstGeom>
      </xdr:spPr>
    </xdr:pic>
    <xdr:clientData/>
  </xdr:oneCellAnchor>
  <xdr:oneCellAnchor>
    <xdr:from>
      <xdr:col>1</xdr:col>
      <xdr:colOff>47625</xdr:colOff>
      <xdr:row>417</xdr:row>
      <xdr:rowOff>133350</xdr:rowOff>
    </xdr:from>
    <xdr:ext cx="360000" cy="360000"/>
    <xdr:pic>
      <xdr:nvPicPr>
        <xdr:cNvPr id="33" name="Picture 32">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82134075"/>
          <a:ext cx="360000" cy="360000"/>
        </a:xfrm>
        <a:prstGeom prst="rect">
          <a:avLst/>
        </a:prstGeom>
      </xdr:spPr>
    </xdr:pic>
    <xdr:clientData/>
  </xdr:oneCellAnchor>
  <xdr:oneCellAnchor>
    <xdr:from>
      <xdr:col>1</xdr:col>
      <xdr:colOff>57150</xdr:colOff>
      <xdr:row>430</xdr:row>
      <xdr:rowOff>133350</xdr:rowOff>
    </xdr:from>
    <xdr:ext cx="360000" cy="360000"/>
    <xdr:pic>
      <xdr:nvPicPr>
        <xdr:cNvPr id="34" name="Picture 33">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4800" y="63769875"/>
          <a:ext cx="360000" cy="360000"/>
        </a:xfrm>
        <a:prstGeom prst="rect">
          <a:avLst/>
        </a:prstGeom>
      </xdr:spPr>
    </xdr:pic>
    <xdr:clientData/>
  </xdr:oneCellAnchor>
  <xdr:twoCellAnchor editAs="oneCell">
    <xdr:from>
      <xdr:col>1</xdr:col>
      <xdr:colOff>19050</xdr:colOff>
      <xdr:row>414</xdr:row>
      <xdr:rowOff>76200</xdr:rowOff>
    </xdr:from>
    <xdr:to>
      <xdr:col>1</xdr:col>
      <xdr:colOff>420691</xdr:colOff>
      <xdr:row>416</xdr:row>
      <xdr:rowOff>91200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58445400"/>
          <a:ext cx="401641" cy="396000"/>
        </a:xfrm>
        <a:prstGeom prst="rect">
          <a:avLst/>
        </a:prstGeom>
      </xdr:spPr>
    </xdr:pic>
    <xdr:clientData/>
  </xdr:twoCellAnchor>
  <xdr:oneCellAnchor>
    <xdr:from>
      <xdr:col>1</xdr:col>
      <xdr:colOff>57150</xdr:colOff>
      <xdr:row>86</xdr:row>
      <xdr:rowOff>9525</xdr:rowOff>
    </xdr:from>
    <xdr:ext cx="540000" cy="540000"/>
    <xdr:pic>
      <xdr:nvPicPr>
        <xdr:cNvPr id="35" name="Picture 34">
          <a:extLst>
            <a:ext uri="{FF2B5EF4-FFF2-40B4-BE49-F238E27FC236}">
              <a16:creationId xmlns:a16="http://schemas.microsoft.com/office/drawing/2014/main" id="{00000000-0008-0000-0F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21602700"/>
          <a:ext cx="540000" cy="540000"/>
        </a:xfrm>
        <a:prstGeom prst="rect">
          <a:avLst/>
        </a:prstGeom>
      </xdr:spPr>
    </xdr:pic>
    <xdr:clientData/>
  </xdr:oneCellAnchor>
  <xdr:twoCellAnchor editAs="oneCell">
    <xdr:from>
      <xdr:col>1</xdr:col>
      <xdr:colOff>28574</xdr:colOff>
      <xdr:row>93</xdr:row>
      <xdr:rowOff>19050</xdr:rowOff>
    </xdr:from>
    <xdr:to>
      <xdr:col>1</xdr:col>
      <xdr:colOff>576266</xdr:colOff>
      <xdr:row>94</xdr:row>
      <xdr:rowOff>178050</xdr:rowOff>
    </xdr:to>
    <xdr:pic>
      <xdr:nvPicPr>
        <xdr:cNvPr id="38" name="Picture 37">
          <a:extLst>
            <a:ext uri="{FF2B5EF4-FFF2-40B4-BE49-F238E27FC236}">
              <a16:creationId xmlns:a16="http://schemas.microsoft.com/office/drawing/2014/main" id="{00000000-0008-0000-0F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6224" y="9801225"/>
          <a:ext cx="547692" cy="540000"/>
        </a:xfrm>
        <a:prstGeom prst="rect">
          <a:avLst/>
        </a:prstGeom>
      </xdr:spPr>
    </xdr:pic>
    <xdr:clientData/>
  </xdr:twoCellAnchor>
  <xdr:twoCellAnchor>
    <xdr:from>
      <xdr:col>9</xdr:col>
      <xdr:colOff>352425</xdr:colOff>
      <xdr:row>1</xdr:row>
      <xdr:rowOff>104775</xdr:rowOff>
    </xdr:from>
    <xdr:to>
      <xdr:col>9</xdr:col>
      <xdr:colOff>800100</xdr:colOff>
      <xdr:row>3</xdr:row>
      <xdr:rowOff>76200</xdr:rowOff>
    </xdr:to>
    <xdr:sp macro="" textlink="">
      <xdr:nvSpPr>
        <xdr:cNvPr id="36" name="Up Arrow 35">
          <a:hlinkClick xmlns:r="http://schemas.openxmlformats.org/officeDocument/2006/relationships" r:id="rId13" tooltip="Back to top"/>
          <a:extLst>
            <a:ext uri="{FF2B5EF4-FFF2-40B4-BE49-F238E27FC236}">
              <a16:creationId xmlns:a16="http://schemas.microsoft.com/office/drawing/2014/main" id="{00000000-0008-0000-0F00-000024000000}"/>
            </a:ext>
          </a:extLst>
        </xdr:cNvPr>
        <xdr:cNvSpPr/>
      </xdr:nvSpPr>
      <xdr:spPr>
        <a:xfrm>
          <a:off x="9886950"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28577</xdr:colOff>
      <xdr:row>363</xdr:row>
      <xdr:rowOff>66675</xdr:rowOff>
    </xdr:from>
    <xdr:ext cx="438153" cy="432000"/>
    <xdr:pic>
      <xdr:nvPicPr>
        <xdr:cNvPr id="37" name="Picture 36">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6227" y="48396525"/>
          <a:ext cx="438153" cy="432000"/>
        </a:xfrm>
        <a:prstGeom prst="rect">
          <a:avLst/>
        </a:prstGeom>
      </xdr:spPr>
    </xdr:pic>
    <xdr:clientData/>
  </xdr:oneCellAnchor>
  <xdr:oneCellAnchor>
    <xdr:from>
      <xdr:col>1</xdr:col>
      <xdr:colOff>28577</xdr:colOff>
      <xdr:row>403</xdr:row>
      <xdr:rowOff>38100</xdr:rowOff>
    </xdr:from>
    <xdr:ext cx="438153" cy="432000"/>
    <xdr:pic>
      <xdr:nvPicPr>
        <xdr:cNvPr id="39" name="Picture 38">
          <a:extLst>
            <a:ext uri="{FF2B5EF4-FFF2-40B4-BE49-F238E27FC236}">
              <a16:creationId xmlns:a16="http://schemas.microsoft.com/office/drawing/2014/main" id="{00000000-0008-0000-0F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6227" y="57445275"/>
          <a:ext cx="438153" cy="432000"/>
        </a:xfrm>
        <a:prstGeom prst="rect">
          <a:avLst/>
        </a:prstGeom>
      </xdr:spPr>
    </xdr:pic>
    <xdr:clientData/>
  </xdr:oneCellAnchor>
  <xdr:twoCellAnchor>
    <xdr:from>
      <xdr:col>4</xdr:col>
      <xdr:colOff>1047750</xdr:colOff>
      <xdr:row>26</xdr:row>
      <xdr:rowOff>152400</xdr:rowOff>
    </xdr:from>
    <xdr:to>
      <xdr:col>6</xdr:col>
      <xdr:colOff>572250</xdr:colOff>
      <xdr:row>28</xdr:row>
      <xdr:rowOff>59400</xdr:rowOff>
    </xdr:to>
    <xdr:sp macro="" textlink="">
      <xdr:nvSpPr>
        <xdr:cNvPr id="40" name="Rectangle à coins arrondis 2">
          <a:hlinkClick xmlns:r="http://schemas.openxmlformats.org/officeDocument/2006/relationships" r:id="rId15" tooltip="Prescriptive Path"/>
          <a:extLst>
            <a:ext uri="{FF2B5EF4-FFF2-40B4-BE49-F238E27FC236}">
              <a16:creationId xmlns:a16="http://schemas.microsoft.com/office/drawing/2014/main" id="{00000000-0008-0000-0F00-000028000000}"/>
            </a:ext>
          </a:extLst>
        </xdr:cNvPr>
        <xdr:cNvSpPr>
          <a:spLocks noChangeArrowheads="1"/>
        </xdr:cNvSpPr>
      </xdr:nvSpPr>
      <xdr:spPr bwMode="auto">
        <a:xfrm>
          <a:off x="4943475" y="7477125"/>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904874</xdr:colOff>
      <xdr:row>26</xdr:row>
      <xdr:rowOff>152400</xdr:rowOff>
    </xdr:from>
    <xdr:to>
      <xdr:col>8</xdr:col>
      <xdr:colOff>181724</xdr:colOff>
      <xdr:row>28</xdr:row>
      <xdr:rowOff>59400</xdr:rowOff>
    </xdr:to>
    <xdr:sp macro="" textlink="">
      <xdr:nvSpPr>
        <xdr:cNvPr id="41" name="Rectangle à coins arrondis 2">
          <a:hlinkClick xmlns:r="http://schemas.openxmlformats.org/officeDocument/2006/relationships" r:id="rId16" tooltip="Performance Path"/>
          <a:extLst>
            <a:ext uri="{FF2B5EF4-FFF2-40B4-BE49-F238E27FC236}">
              <a16:creationId xmlns:a16="http://schemas.microsoft.com/office/drawing/2014/main" id="{00000000-0008-0000-0F00-000029000000}"/>
            </a:ext>
          </a:extLst>
        </xdr:cNvPr>
        <xdr:cNvSpPr>
          <a:spLocks noChangeArrowheads="1"/>
        </xdr:cNvSpPr>
      </xdr:nvSpPr>
      <xdr:spPr bwMode="auto">
        <a:xfrm>
          <a:off x="6896099" y="7477125"/>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400050</xdr:colOff>
      <xdr:row>26</xdr:row>
      <xdr:rowOff>152400</xdr:rowOff>
    </xdr:from>
    <xdr:to>
      <xdr:col>4</xdr:col>
      <xdr:colOff>832050</xdr:colOff>
      <xdr:row>28</xdr:row>
      <xdr:rowOff>59400</xdr:rowOff>
    </xdr:to>
    <xdr:sp macro="" textlink="">
      <xdr:nvSpPr>
        <xdr:cNvPr id="42" name="Flèche droite 7">
          <a:extLst>
            <a:ext uri="{FF2B5EF4-FFF2-40B4-BE49-F238E27FC236}">
              <a16:creationId xmlns:a16="http://schemas.microsoft.com/office/drawing/2014/main" id="{00000000-0008-0000-0F00-00002A000000}"/>
            </a:ext>
          </a:extLst>
        </xdr:cNvPr>
        <xdr:cNvSpPr/>
      </xdr:nvSpPr>
      <xdr:spPr>
        <a:xfrm>
          <a:off x="4314825" y="8515350"/>
          <a:ext cx="432000" cy="307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oneCellAnchor>
    <xdr:from>
      <xdr:col>1</xdr:col>
      <xdr:colOff>19050</xdr:colOff>
      <xdr:row>39</xdr:row>
      <xdr:rowOff>161925</xdr:rowOff>
    </xdr:from>
    <xdr:ext cx="360000" cy="360000"/>
    <xdr:pic>
      <xdr:nvPicPr>
        <xdr:cNvPr id="46" name="Picture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47650" y="10934700"/>
          <a:ext cx="360000" cy="360000"/>
        </a:xfrm>
        <a:prstGeom prst="rect">
          <a:avLst/>
        </a:prstGeom>
      </xdr:spPr>
    </xdr:pic>
    <xdr:clientData/>
  </xdr:oneCellAnchor>
  <xdr:twoCellAnchor editAs="oneCell">
    <xdr:from>
      <xdr:col>1</xdr:col>
      <xdr:colOff>28575</xdr:colOff>
      <xdr:row>32</xdr:row>
      <xdr:rowOff>76200</xdr:rowOff>
    </xdr:from>
    <xdr:to>
      <xdr:col>1</xdr:col>
      <xdr:colOff>388575</xdr:colOff>
      <xdr:row>34</xdr:row>
      <xdr:rowOff>55200</xdr:rowOff>
    </xdr:to>
    <xdr:pic>
      <xdr:nvPicPr>
        <xdr:cNvPr id="47" name="Picture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76225" y="10410825"/>
          <a:ext cx="360000" cy="360000"/>
        </a:xfrm>
        <a:prstGeom prst="rect">
          <a:avLst/>
        </a:prstGeom>
      </xdr:spPr>
    </xdr:pic>
    <xdr:clientData/>
  </xdr:twoCellAnchor>
  <xdr:twoCellAnchor editAs="oneCell">
    <xdr:from>
      <xdr:col>1</xdr:col>
      <xdr:colOff>66675</xdr:colOff>
      <xdr:row>35</xdr:row>
      <xdr:rowOff>171450</xdr:rowOff>
    </xdr:from>
    <xdr:to>
      <xdr:col>1</xdr:col>
      <xdr:colOff>498675</xdr:colOff>
      <xdr:row>38</xdr:row>
      <xdr:rowOff>3375</xdr:rowOff>
    </xdr:to>
    <xdr:pic>
      <xdr:nvPicPr>
        <xdr:cNvPr id="48" name="Picture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5" y="11687175"/>
          <a:ext cx="432000" cy="432000"/>
        </a:xfrm>
        <a:prstGeom prst="rect">
          <a:avLst/>
        </a:prstGeom>
      </xdr:spPr>
    </xdr:pic>
    <xdr:clientData/>
  </xdr:twoCellAnchor>
  <xdr:twoCellAnchor>
    <xdr:from>
      <xdr:col>4</xdr:col>
      <xdr:colOff>1047750</xdr:colOff>
      <xdr:row>136</xdr:row>
      <xdr:rowOff>152400</xdr:rowOff>
    </xdr:from>
    <xdr:to>
      <xdr:col>6</xdr:col>
      <xdr:colOff>572250</xdr:colOff>
      <xdr:row>138</xdr:row>
      <xdr:rowOff>59400</xdr:rowOff>
    </xdr:to>
    <xdr:sp macro="" textlink="">
      <xdr:nvSpPr>
        <xdr:cNvPr id="49" name="Rectangle à coins arrondis 2">
          <a:hlinkClick xmlns:r="http://schemas.openxmlformats.org/officeDocument/2006/relationships" r:id="rId18" tooltip="Prescriptive Path"/>
          <a:extLst>
            <a:ext uri="{FF2B5EF4-FFF2-40B4-BE49-F238E27FC236}">
              <a16:creationId xmlns:a16="http://schemas.microsoft.com/office/drawing/2014/main" id="{00000000-0008-0000-0F00-000031000000}"/>
            </a:ext>
          </a:extLst>
        </xdr:cNvPr>
        <xdr:cNvSpPr>
          <a:spLocks noChangeArrowheads="1"/>
        </xdr:cNvSpPr>
      </xdr:nvSpPr>
      <xdr:spPr bwMode="auto">
        <a:xfrm>
          <a:off x="4962525" y="9124950"/>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904874</xdr:colOff>
      <xdr:row>136</xdr:row>
      <xdr:rowOff>152400</xdr:rowOff>
    </xdr:from>
    <xdr:to>
      <xdr:col>8</xdr:col>
      <xdr:colOff>181724</xdr:colOff>
      <xdr:row>138</xdr:row>
      <xdr:rowOff>59400</xdr:rowOff>
    </xdr:to>
    <xdr:sp macro="" textlink="">
      <xdr:nvSpPr>
        <xdr:cNvPr id="50" name="Rectangle à coins arrondis 2">
          <a:hlinkClick xmlns:r="http://schemas.openxmlformats.org/officeDocument/2006/relationships" r:id="rId19" tooltip="Performance Path"/>
          <a:extLst>
            <a:ext uri="{FF2B5EF4-FFF2-40B4-BE49-F238E27FC236}">
              <a16:creationId xmlns:a16="http://schemas.microsoft.com/office/drawing/2014/main" id="{00000000-0008-0000-0F00-000032000000}"/>
            </a:ext>
          </a:extLst>
        </xdr:cNvPr>
        <xdr:cNvSpPr>
          <a:spLocks noChangeArrowheads="1"/>
        </xdr:cNvSpPr>
      </xdr:nvSpPr>
      <xdr:spPr bwMode="auto">
        <a:xfrm>
          <a:off x="6915149" y="9124950"/>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409575</xdr:colOff>
      <xdr:row>136</xdr:row>
      <xdr:rowOff>142875</xdr:rowOff>
    </xdr:from>
    <xdr:to>
      <xdr:col>4</xdr:col>
      <xdr:colOff>841575</xdr:colOff>
      <xdr:row>138</xdr:row>
      <xdr:rowOff>67875</xdr:rowOff>
    </xdr:to>
    <xdr:sp macro="" textlink="">
      <xdr:nvSpPr>
        <xdr:cNvPr id="51" name="Flèche droite 7">
          <a:extLst>
            <a:ext uri="{FF2B5EF4-FFF2-40B4-BE49-F238E27FC236}">
              <a16:creationId xmlns:a16="http://schemas.microsoft.com/office/drawing/2014/main" id="{00000000-0008-0000-0F00-000033000000}"/>
            </a:ext>
          </a:extLst>
        </xdr:cNvPr>
        <xdr:cNvSpPr/>
      </xdr:nvSpPr>
      <xdr:spPr>
        <a:xfrm>
          <a:off x="4324350" y="30880050"/>
          <a:ext cx="432000" cy="306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123825</xdr:colOff>
      <xdr:row>181</xdr:row>
      <xdr:rowOff>133350</xdr:rowOff>
    </xdr:from>
    <xdr:to>
      <xdr:col>1</xdr:col>
      <xdr:colOff>483825</xdr:colOff>
      <xdr:row>183</xdr:row>
      <xdr:rowOff>74250</xdr:rowOff>
    </xdr:to>
    <xdr:pic>
      <xdr:nvPicPr>
        <xdr:cNvPr id="52" name="Picture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475" y="33747075"/>
          <a:ext cx="360000" cy="360000"/>
        </a:xfrm>
        <a:prstGeom prst="rect">
          <a:avLst/>
        </a:prstGeom>
      </xdr:spPr>
    </xdr:pic>
    <xdr:clientData/>
  </xdr:twoCellAnchor>
  <xdr:oneCellAnchor>
    <xdr:from>
      <xdr:col>1</xdr:col>
      <xdr:colOff>85725</xdr:colOff>
      <xdr:row>149</xdr:row>
      <xdr:rowOff>85725</xdr:rowOff>
    </xdr:from>
    <xdr:ext cx="396000" cy="396000"/>
    <xdr:pic>
      <xdr:nvPicPr>
        <xdr:cNvPr id="53" name="Picture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44977050"/>
          <a:ext cx="396000" cy="396000"/>
        </a:xfrm>
        <a:prstGeom prst="rect">
          <a:avLst/>
        </a:prstGeom>
      </xdr:spPr>
    </xdr:pic>
    <xdr:clientData/>
  </xdr:oneCellAnchor>
  <xdr:twoCellAnchor editAs="oneCell">
    <xdr:from>
      <xdr:col>0</xdr:col>
      <xdr:colOff>228600</xdr:colOff>
      <xdr:row>142</xdr:row>
      <xdr:rowOff>85725</xdr:rowOff>
    </xdr:from>
    <xdr:to>
      <xdr:col>1</xdr:col>
      <xdr:colOff>340950</xdr:colOff>
      <xdr:row>144</xdr:row>
      <xdr:rowOff>102825</xdr:rowOff>
    </xdr:to>
    <xdr:pic>
      <xdr:nvPicPr>
        <xdr:cNvPr id="54" name="Picture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8600" y="32537400"/>
          <a:ext cx="360000" cy="360000"/>
        </a:xfrm>
        <a:prstGeom prst="rect">
          <a:avLst/>
        </a:prstGeom>
      </xdr:spPr>
    </xdr:pic>
    <xdr:clientData/>
  </xdr:twoCellAnchor>
  <xdr:twoCellAnchor editAs="oneCell">
    <xdr:from>
      <xdr:col>7</xdr:col>
      <xdr:colOff>428625</xdr:colOff>
      <xdr:row>152</xdr:row>
      <xdr:rowOff>161925</xdr:rowOff>
    </xdr:from>
    <xdr:to>
      <xdr:col>11</xdr:col>
      <xdr:colOff>409575</xdr:colOff>
      <xdr:row>163</xdr:row>
      <xdr:rowOff>57150</xdr:rowOff>
    </xdr:to>
    <xdr:pic>
      <xdr:nvPicPr>
        <xdr:cNvPr id="56" name="Picture 55" descr="Résultat de recherche d'images pour &quot;VNEEP label&quot;">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829550" y="36347400"/>
          <a:ext cx="3981450" cy="216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334</xdr:row>
      <xdr:rowOff>152400</xdr:rowOff>
    </xdr:from>
    <xdr:to>
      <xdr:col>1</xdr:col>
      <xdr:colOff>388575</xdr:colOff>
      <xdr:row>336</xdr:row>
      <xdr:rowOff>74250</xdr:rowOff>
    </xdr:to>
    <xdr:pic>
      <xdr:nvPicPr>
        <xdr:cNvPr id="58" name="Picture 57">
          <a:extLst>
            <a:ext uri="{FF2B5EF4-FFF2-40B4-BE49-F238E27FC236}">
              <a16:creationId xmlns:a16="http://schemas.microsoft.com/office/drawing/2014/main" id="{FAC92E1B-2D1F-4611-AE17-FBDC096CD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67265550"/>
          <a:ext cx="360000" cy="360000"/>
        </a:xfrm>
        <a:prstGeom prst="rect">
          <a:avLst/>
        </a:prstGeom>
      </xdr:spPr>
    </xdr:pic>
    <xdr:clientData/>
  </xdr:twoCellAnchor>
  <xdr:twoCellAnchor editAs="oneCell">
    <xdr:from>
      <xdr:col>0</xdr:col>
      <xdr:colOff>228600</xdr:colOff>
      <xdr:row>145</xdr:row>
      <xdr:rowOff>47625</xdr:rowOff>
    </xdr:from>
    <xdr:to>
      <xdr:col>1</xdr:col>
      <xdr:colOff>340950</xdr:colOff>
      <xdr:row>147</xdr:row>
      <xdr:rowOff>102825</xdr:rowOff>
    </xdr:to>
    <xdr:pic>
      <xdr:nvPicPr>
        <xdr:cNvPr id="59" name="Picture 58">
          <a:extLst>
            <a:ext uri="{FF2B5EF4-FFF2-40B4-BE49-F238E27FC236}">
              <a16:creationId xmlns:a16="http://schemas.microsoft.com/office/drawing/2014/main" id="{93DF74D7-E15B-402C-B480-3A4092157E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8600" y="34918650"/>
          <a:ext cx="360000" cy="360000"/>
        </a:xfrm>
        <a:prstGeom prst="rect">
          <a:avLst/>
        </a:prstGeom>
      </xdr:spPr>
    </xdr:pic>
    <xdr:clientData/>
  </xdr:twoCellAnchor>
  <xdr:twoCellAnchor editAs="oneCell">
    <xdr:from>
      <xdr:col>0</xdr:col>
      <xdr:colOff>180975</xdr:colOff>
      <xdr:row>188</xdr:row>
      <xdr:rowOff>38101</xdr:rowOff>
    </xdr:from>
    <xdr:to>
      <xdr:col>5</xdr:col>
      <xdr:colOff>797475</xdr:colOff>
      <xdr:row>194</xdr:row>
      <xdr:rowOff>38100</xdr:rowOff>
    </xdr:to>
    <xdr:pic>
      <xdr:nvPicPr>
        <xdr:cNvPr id="63" name="Picture 62">
          <a:extLst>
            <a:ext uri="{FF2B5EF4-FFF2-40B4-BE49-F238E27FC236}">
              <a16:creationId xmlns:a16="http://schemas.microsoft.com/office/drawing/2014/main" id="{CBDA9C1F-2178-4B15-A682-806FEA30CF8F}"/>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b="1014"/>
        <a:stretch/>
      </xdr:blipFill>
      <xdr:spPr bwMode="auto">
        <a:xfrm>
          <a:off x="180975" y="44138851"/>
          <a:ext cx="5760000" cy="1409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438150</xdr:colOff>
      <xdr:row>188</xdr:row>
      <xdr:rowOff>47625</xdr:rowOff>
    </xdr:from>
    <xdr:to>
      <xdr:col>12</xdr:col>
      <xdr:colOff>416475</xdr:colOff>
      <xdr:row>208</xdr:row>
      <xdr:rowOff>218566</xdr:rowOff>
    </xdr:to>
    <xdr:pic>
      <xdr:nvPicPr>
        <xdr:cNvPr id="64" name="Picture 63">
          <a:extLst>
            <a:ext uri="{FF2B5EF4-FFF2-40B4-BE49-F238E27FC236}">
              <a16:creationId xmlns:a16="http://schemas.microsoft.com/office/drawing/2014/main" id="{6E3AB19E-174B-440F-9714-B2E1F70D54A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331" t="379"/>
        <a:stretch/>
      </xdr:blipFill>
      <xdr:spPr bwMode="auto">
        <a:xfrm>
          <a:off x="6638925" y="44148375"/>
          <a:ext cx="5740950" cy="5009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196</xdr:row>
      <xdr:rowOff>47625</xdr:rowOff>
    </xdr:from>
    <xdr:to>
      <xdr:col>5</xdr:col>
      <xdr:colOff>819150</xdr:colOff>
      <xdr:row>208</xdr:row>
      <xdr:rowOff>146282</xdr:rowOff>
    </xdr:to>
    <xdr:pic>
      <xdr:nvPicPr>
        <xdr:cNvPr id="65" name="Picture 64">
          <a:extLst>
            <a:ext uri="{FF2B5EF4-FFF2-40B4-BE49-F238E27FC236}">
              <a16:creationId xmlns:a16="http://schemas.microsoft.com/office/drawing/2014/main" id="{86536F93-5ABC-4764-ABA2-AD6688D33C55}"/>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t="626" r="285"/>
        <a:stretch/>
      </xdr:blipFill>
      <xdr:spPr bwMode="auto">
        <a:xfrm>
          <a:off x="219075" y="46062900"/>
          <a:ext cx="5743575" cy="3022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104775</xdr:colOff>
      <xdr:row>236</xdr:row>
      <xdr:rowOff>114300</xdr:rowOff>
    </xdr:from>
    <xdr:ext cx="360000" cy="360000"/>
    <xdr:pic>
      <xdr:nvPicPr>
        <xdr:cNvPr id="67" name="Picture 66">
          <a:extLst>
            <a:ext uri="{FF2B5EF4-FFF2-40B4-BE49-F238E27FC236}">
              <a16:creationId xmlns:a16="http://schemas.microsoft.com/office/drawing/2014/main" id="{1F016EE6-F257-4668-9A73-56A80BB757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55130700"/>
          <a:ext cx="360000" cy="360000"/>
        </a:xfrm>
        <a:prstGeom prst="rect">
          <a:avLst/>
        </a:prstGeom>
      </xdr:spPr>
    </xdr:pic>
    <xdr:clientData/>
  </xdr:oneCellAnchor>
  <xdr:twoCellAnchor editAs="oneCell">
    <xdr:from>
      <xdr:col>1</xdr:col>
      <xdr:colOff>104775</xdr:colOff>
      <xdr:row>234</xdr:row>
      <xdr:rowOff>142875</xdr:rowOff>
    </xdr:from>
    <xdr:to>
      <xdr:col>1</xdr:col>
      <xdr:colOff>464775</xdr:colOff>
      <xdr:row>236</xdr:row>
      <xdr:rowOff>83775</xdr:rowOff>
    </xdr:to>
    <xdr:pic>
      <xdr:nvPicPr>
        <xdr:cNvPr id="70" name="Picture 69">
          <a:extLst>
            <a:ext uri="{FF2B5EF4-FFF2-40B4-BE49-F238E27FC236}">
              <a16:creationId xmlns:a16="http://schemas.microsoft.com/office/drawing/2014/main" id="{B1AA2D75-E9A3-4D30-BDAB-1714676427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425" y="54740175"/>
          <a:ext cx="360000" cy="36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1</xdr:row>
      <xdr:rowOff>114301</xdr:rowOff>
    </xdr:from>
    <xdr:to>
      <xdr:col>2</xdr:col>
      <xdr:colOff>570300</xdr:colOff>
      <xdr:row>3</xdr:row>
      <xdr:rowOff>57301</xdr:rowOff>
    </xdr:to>
    <xdr:sp macro="" textlink="">
      <xdr:nvSpPr>
        <xdr:cNvPr id="5" name="Rectangle à coins arrondis 2">
          <a:hlinkClick xmlns:r="http://schemas.openxmlformats.org/officeDocument/2006/relationships" r:id="rId1" tooltip="Back to Energy"/>
          <a:extLst>
            <a:ext uri="{FF2B5EF4-FFF2-40B4-BE49-F238E27FC236}">
              <a16:creationId xmlns:a16="http://schemas.microsoft.com/office/drawing/2014/main" id="{00000000-0008-0000-1000-000005000000}"/>
            </a:ext>
          </a:extLst>
        </xdr:cNvPr>
        <xdr:cNvSpPr>
          <a:spLocks noChangeArrowheads="1"/>
        </xdr:cNvSpPr>
      </xdr:nvSpPr>
      <xdr:spPr bwMode="auto">
        <a:xfrm>
          <a:off x="247650"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885825</xdr:colOff>
      <xdr:row>1</xdr:row>
      <xdr:rowOff>123825</xdr:rowOff>
    </xdr:from>
    <xdr:to>
      <xdr:col>4</xdr:col>
      <xdr:colOff>103575</xdr:colOff>
      <xdr:row>3</xdr:row>
      <xdr:rowOff>66825</xdr:rowOff>
    </xdr:to>
    <xdr:sp macro="" textlink="">
      <xdr:nvSpPr>
        <xdr:cNvPr id="6" name="Rectangle à coins arrondis 2">
          <a:hlinkClick xmlns:r="http://schemas.openxmlformats.org/officeDocument/2006/relationships" r:id="rId2" tooltip="See the Scorecard"/>
          <a:extLst>
            <a:ext uri="{FF2B5EF4-FFF2-40B4-BE49-F238E27FC236}">
              <a16:creationId xmlns:a16="http://schemas.microsoft.com/office/drawing/2014/main" id="{00000000-0008-0000-1000-000006000000}"/>
            </a:ext>
          </a:extLst>
        </xdr:cNvPr>
        <xdr:cNvSpPr>
          <a:spLocks noChangeArrowheads="1"/>
        </xdr:cNvSpPr>
      </xdr:nvSpPr>
      <xdr:spPr bwMode="auto">
        <a:xfrm>
          <a:off x="2543175"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1009650</xdr:colOff>
      <xdr:row>1</xdr:row>
      <xdr:rowOff>152400</xdr:rowOff>
    </xdr:from>
    <xdr:to>
      <xdr:col>5</xdr:col>
      <xdr:colOff>708525</xdr:colOff>
      <xdr:row>3</xdr:row>
      <xdr:rowOff>59400</xdr:rowOff>
    </xdr:to>
    <xdr:sp macro="" textlink="">
      <xdr:nvSpPr>
        <xdr:cNvPr id="9" name="Rectangle à coins arrondis 2">
          <a:hlinkClick xmlns:r="http://schemas.openxmlformats.org/officeDocument/2006/relationships" r:id="rId3" tooltip="Strategy A"/>
          <a:extLst>
            <a:ext uri="{FF2B5EF4-FFF2-40B4-BE49-F238E27FC236}">
              <a16:creationId xmlns:a16="http://schemas.microsoft.com/office/drawing/2014/main" id="{00000000-0008-0000-1000-000009000000}"/>
            </a:ext>
          </a:extLst>
        </xdr:cNvPr>
        <xdr:cNvSpPr>
          <a:spLocks noChangeArrowheads="1"/>
        </xdr:cNvSpPr>
      </xdr:nvSpPr>
      <xdr:spPr bwMode="auto">
        <a:xfrm>
          <a:off x="5429250"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838199</xdr:colOff>
      <xdr:row>1</xdr:row>
      <xdr:rowOff>152400</xdr:rowOff>
    </xdr:from>
    <xdr:to>
      <xdr:col>6</xdr:col>
      <xdr:colOff>689474</xdr:colOff>
      <xdr:row>3</xdr:row>
      <xdr:rowOff>59400</xdr:rowOff>
    </xdr:to>
    <xdr:sp macro="" textlink="">
      <xdr:nvSpPr>
        <xdr:cNvPr id="10" name="Rectangle à coins arrondis 2">
          <a:hlinkClick xmlns:r="http://schemas.openxmlformats.org/officeDocument/2006/relationships" r:id="rId4" tooltip="Strategy B"/>
          <a:extLst>
            <a:ext uri="{FF2B5EF4-FFF2-40B4-BE49-F238E27FC236}">
              <a16:creationId xmlns:a16="http://schemas.microsoft.com/office/drawing/2014/main" id="{00000000-0008-0000-1000-00000A000000}"/>
            </a:ext>
          </a:extLst>
        </xdr:cNvPr>
        <xdr:cNvSpPr>
          <a:spLocks noChangeArrowheads="1"/>
        </xdr:cNvSpPr>
      </xdr:nvSpPr>
      <xdr:spPr bwMode="auto">
        <a:xfrm>
          <a:off x="6638924"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819150</xdr:colOff>
      <xdr:row>1</xdr:row>
      <xdr:rowOff>152400</xdr:rowOff>
    </xdr:from>
    <xdr:to>
      <xdr:col>7</xdr:col>
      <xdr:colOff>479925</xdr:colOff>
      <xdr:row>3</xdr:row>
      <xdr:rowOff>59400</xdr:rowOff>
    </xdr:to>
    <xdr:sp macro="" textlink="">
      <xdr:nvSpPr>
        <xdr:cNvPr id="7" name="Rectangle à coins arrondis 2">
          <a:hlinkClick xmlns:r="http://schemas.openxmlformats.org/officeDocument/2006/relationships" r:id="rId5" tooltip="Strategy A"/>
          <a:extLst>
            <a:ext uri="{FF2B5EF4-FFF2-40B4-BE49-F238E27FC236}">
              <a16:creationId xmlns:a16="http://schemas.microsoft.com/office/drawing/2014/main" id="{00000000-0008-0000-1000-000007000000}"/>
            </a:ext>
          </a:extLst>
        </xdr:cNvPr>
        <xdr:cNvSpPr>
          <a:spLocks noChangeArrowheads="1"/>
        </xdr:cNvSpPr>
      </xdr:nvSpPr>
      <xdr:spPr bwMode="auto">
        <a:xfrm>
          <a:off x="7848600" y="476250"/>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editAs="oneCell">
    <xdr:from>
      <xdr:col>1</xdr:col>
      <xdr:colOff>47625</xdr:colOff>
      <xdr:row>24</xdr:row>
      <xdr:rowOff>0</xdr:rowOff>
    </xdr:from>
    <xdr:to>
      <xdr:col>1</xdr:col>
      <xdr:colOff>623625</xdr:colOff>
      <xdr:row>27</xdr:row>
      <xdr:rowOff>4500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9363075"/>
          <a:ext cx="576000" cy="576000"/>
        </a:xfrm>
        <a:prstGeom prst="rect">
          <a:avLst/>
        </a:prstGeom>
      </xdr:spPr>
    </xdr:pic>
    <xdr:clientData/>
  </xdr:twoCellAnchor>
  <xdr:twoCellAnchor editAs="oneCell">
    <xdr:from>
      <xdr:col>1</xdr:col>
      <xdr:colOff>95252</xdr:colOff>
      <xdr:row>189</xdr:row>
      <xdr:rowOff>76200</xdr:rowOff>
    </xdr:from>
    <xdr:to>
      <xdr:col>1</xdr:col>
      <xdr:colOff>496892</xdr:colOff>
      <xdr:row>191</xdr:row>
      <xdr:rowOff>91200</xdr:rowOff>
    </xdr:to>
    <xdr:pic>
      <xdr:nvPicPr>
        <xdr:cNvPr id="21" name="Picture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7" y="49387125"/>
          <a:ext cx="401640" cy="396000"/>
        </a:xfrm>
        <a:prstGeom prst="rect">
          <a:avLst/>
        </a:prstGeom>
      </xdr:spPr>
    </xdr:pic>
    <xdr:clientData/>
  </xdr:twoCellAnchor>
  <xdr:twoCellAnchor editAs="oneCell">
    <xdr:from>
      <xdr:col>1</xdr:col>
      <xdr:colOff>57150</xdr:colOff>
      <xdr:row>177</xdr:row>
      <xdr:rowOff>142875</xdr:rowOff>
    </xdr:from>
    <xdr:to>
      <xdr:col>1</xdr:col>
      <xdr:colOff>453150</xdr:colOff>
      <xdr:row>179</xdr:row>
      <xdr:rowOff>148350</xdr:rowOff>
    </xdr:to>
    <xdr:pic>
      <xdr:nvPicPr>
        <xdr:cNvPr id="38" name="Picture 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35337750"/>
          <a:ext cx="396000" cy="396000"/>
        </a:xfrm>
        <a:prstGeom prst="rect">
          <a:avLst/>
        </a:prstGeom>
      </xdr:spPr>
    </xdr:pic>
    <xdr:clientData/>
  </xdr:twoCellAnchor>
  <xdr:twoCellAnchor editAs="oneCell">
    <xdr:from>
      <xdr:col>1</xdr:col>
      <xdr:colOff>95250</xdr:colOff>
      <xdr:row>191</xdr:row>
      <xdr:rowOff>123825</xdr:rowOff>
    </xdr:from>
    <xdr:to>
      <xdr:col>1</xdr:col>
      <xdr:colOff>455250</xdr:colOff>
      <xdr:row>193</xdr:row>
      <xdr:rowOff>102825</xdr:rowOff>
    </xdr:to>
    <xdr:pic>
      <xdr:nvPicPr>
        <xdr:cNvPr id="42" name="Picture 4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38166675"/>
          <a:ext cx="360000" cy="360000"/>
        </a:xfrm>
        <a:prstGeom prst="rect">
          <a:avLst/>
        </a:prstGeom>
      </xdr:spPr>
    </xdr:pic>
    <xdr:clientData/>
  </xdr:twoCellAnchor>
  <xdr:twoCellAnchor editAs="oneCell">
    <xdr:from>
      <xdr:col>1</xdr:col>
      <xdr:colOff>76200</xdr:colOff>
      <xdr:row>131</xdr:row>
      <xdr:rowOff>95250</xdr:rowOff>
    </xdr:from>
    <xdr:to>
      <xdr:col>1</xdr:col>
      <xdr:colOff>472200</xdr:colOff>
      <xdr:row>133</xdr:row>
      <xdr:rowOff>110250</xdr:rowOff>
    </xdr:to>
    <xdr:pic>
      <xdr:nvPicPr>
        <xdr:cNvPr id="44" name="Picture 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22326600"/>
          <a:ext cx="396000" cy="396000"/>
        </a:xfrm>
        <a:prstGeom prst="rect">
          <a:avLst/>
        </a:prstGeom>
      </xdr:spPr>
    </xdr:pic>
    <xdr:clientData/>
  </xdr:twoCellAnchor>
  <xdr:twoCellAnchor editAs="oneCell">
    <xdr:from>
      <xdr:col>1</xdr:col>
      <xdr:colOff>85725</xdr:colOff>
      <xdr:row>73</xdr:row>
      <xdr:rowOff>104775</xdr:rowOff>
    </xdr:from>
    <xdr:to>
      <xdr:col>1</xdr:col>
      <xdr:colOff>481725</xdr:colOff>
      <xdr:row>75</xdr:row>
      <xdr:rowOff>81675</xdr:rowOff>
    </xdr:to>
    <xdr:pic>
      <xdr:nvPicPr>
        <xdr:cNvPr id="45" name="Picture 44">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1950" y="15630525"/>
          <a:ext cx="396000" cy="396000"/>
        </a:xfrm>
        <a:prstGeom prst="rect">
          <a:avLst/>
        </a:prstGeom>
      </xdr:spPr>
    </xdr:pic>
    <xdr:clientData/>
  </xdr:twoCellAnchor>
  <xdr:twoCellAnchor editAs="oneCell">
    <xdr:from>
      <xdr:col>1</xdr:col>
      <xdr:colOff>66675</xdr:colOff>
      <xdr:row>54</xdr:row>
      <xdr:rowOff>57150</xdr:rowOff>
    </xdr:from>
    <xdr:to>
      <xdr:col>1</xdr:col>
      <xdr:colOff>462675</xdr:colOff>
      <xdr:row>55</xdr:row>
      <xdr:rowOff>205500</xdr:rowOff>
    </xdr:to>
    <xdr:pic>
      <xdr:nvPicPr>
        <xdr:cNvPr id="46" name="Picture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1687175"/>
          <a:ext cx="396000" cy="396000"/>
        </a:xfrm>
        <a:prstGeom prst="rect">
          <a:avLst/>
        </a:prstGeom>
      </xdr:spPr>
    </xdr:pic>
    <xdr:clientData/>
  </xdr:twoCellAnchor>
  <xdr:twoCellAnchor editAs="oneCell">
    <xdr:from>
      <xdr:col>1</xdr:col>
      <xdr:colOff>47625</xdr:colOff>
      <xdr:row>29</xdr:row>
      <xdr:rowOff>38100</xdr:rowOff>
    </xdr:from>
    <xdr:to>
      <xdr:col>1</xdr:col>
      <xdr:colOff>443625</xdr:colOff>
      <xdr:row>31</xdr:row>
      <xdr:rowOff>129300</xdr:rowOff>
    </xdr:to>
    <xdr:pic>
      <xdr:nvPicPr>
        <xdr:cNvPr id="35" name="Picture 34">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6086475"/>
          <a:ext cx="396000" cy="396000"/>
        </a:xfrm>
        <a:prstGeom prst="rect">
          <a:avLst/>
        </a:prstGeom>
      </xdr:spPr>
    </xdr:pic>
    <xdr:clientData/>
  </xdr:twoCellAnchor>
  <xdr:twoCellAnchor editAs="oneCell">
    <xdr:from>
      <xdr:col>1</xdr:col>
      <xdr:colOff>47625</xdr:colOff>
      <xdr:row>118</xdr:row>
      <xdr:rowOff>19050</xdr:rowOff>
    </xdr:from>
    <xdr:to>
      <xdr:col>1</xdr:col>
      <xdr:colOff>479625</xdr:colOff>
      <xdr:row>120</xdr:row>
      <xdr:rowOff>70050</xdr:rowOff>
    </xdr:to>
    <xdr:pic>
      <xdr:nvPicPr>
        <xdr:cNvPr id="47" name="Picture 46">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22278975"/>
          <a:ext cx="432000" cy="432000"/>
        </a:xfrm>
        <a:prstGeom prst="rect">
          <a:avLst/>
        </a:prstGeom>
      </xdr:spPr>
    </xdr:pic>
    <xdr:clientData/>
  </xdr:twoCellAnchor>
  <xdr:twoCellAnchor editAs="oneCell">
    <xdr:from>
      <xdr:col>1</xdr:col>
      <xdr:colOff>66675</xdr:colOff>
      <xdr:row>175</xdr:row>
      <xdr:rowOff>19050</xdr:rowOff>
    </xdr:from>
    <xdr:to>
      <xdr:col>1</xdr:col>
      <xdr:colOff>462675</xdr:colOff>
      <xdr:row>177</xdr:row>
      <xdr:rowOff>100725</xdr:rowOff>
    </xdr:to>
    <xdr:pic>
      <xdr:nvPicPr>
        <xdr:cNvPr id="49" name="Picture 48">
          <a:extLst>
            <a:ext uri="{FF2B5EF4-FFF2-40B4-BE49-F238E27FC236}">
              <a16:creationId xmlns:a16="http://schemas.microsoft.com/office/drawing/2014/main" id="{00000000-0008-0000-10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2900" y="34899600"/>
          <a:ext cx="396000" cy="396000"/>
        </a:xfrm>
        <a:prstGeom prst="rect">
          <a:avLst/>
        </a:prstGeom>
      </xdr:spPr>
    </xdr:pic>
    <xdr:clientData/>
  </xdr:twoCellAnchor>
  <xdr:twoCellAnchor editAs="oneCell">
    <xdr:from>
      <xdr:col>1</xdr:col>
      <xdr:colOff>85725</xdr:colOff>
      <xdr:row>187</xdr:row>
      <xdr:rowOff>28575</xdr:rowOff>
    </xdr:from>
    <xdr:to>
      <xdr:col>1</xdr:col>
      <xdr:colOff>481725</xdr:colOff>
      <xdr:row>188</xdr:row>
      <xdr:rowOff>195975</xdr:rowOff>
    </xdr:to>
    <xdr:pic>
      <xdr:nvPicPr>
        <xdr:cNvPr id="50" name="Picture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 y="48882300"/>
          <a:ext cx="396000" cy="396000"/>
        </a:xfrm>
        <a:prstGeom prst="rect">
          <a:avLst/>
        </a:prstGeom>
      </xdr:spPr>
    </xdr:pic>
    <xdr:clientData/>
  </xdr:twoCellAnchor>
  <xdr:oneCellAnchor>
    <xdr:from>
      <xdr:col>1</xdr:col>
      <xdr:colOff>76200</xdr:colOff>
      <xdr:row>76</xdr:row>
      <xdr:rowOff>0</xdr:rowOff>
    </xdr:from>
    <xdr:ext cx="396000" cy="396000"/>
    <xdr:pic>
      <xdr:nvPicPr>
        <xdr:cNvPr id="39" name="Picture 38">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425" y="13906500"/>
          <a:ext cx="396000" cy="396000"/>
        </a:xfrm>
        <a:prstGeom prst="rect">
          <a:avLst/>
        </a:prstGeom>
      </xdr:spPr>
    </xdr:pic>
    <xdr:clientData/>
  </xdr:oneCellAnchor>
  <xdr:twoCellAnchor>
    <xdr:from>
      <xdr:col>8</xdr:col>
      <xdr:colOff>609600</xdr:colOff>
      <xdr:row>1</xdr:row>
      <xdr:rowOff>123825</xdr:rowOff>
    </xdr:from>
    <xdr:to>
      <xdr:col>8</xdr:col>
      <xdr:colOff>1104900</xdr:colOff>
      <xdr:row>3</xdr:row>
      <xdr:rowOff>95250</xdr:rowOff>
    </xdr:to>
    <xdr:sp macro="" textlink="">
      <xdr:nvSpPr>
        <xdr:cNvPr id="32" name="Up Arrow 35">
          <a:hlinkClick xmlns:r="http://schemas.openxmlformats.org/officeDocument/2006/relationships" r:id="rId11" tooltip="Back to top"/>
          <a:extLst>
            <a:ext uri="{FF2B5EF4-FFF2-40B4-BE49-F238E27FC236}">
              <a16:creationId xmlns:a16="http://schemas.microsoft.com/office/drawing/2014/main" id="{00000000-0008-0000-1000-000020000000}"/>
            </a:ext>
          </a:extLst>
        </xdr:cNvPr>
        <xdr:cNvSpPr/>
      </xdr:nvSpPr>
      <xdr:spPr>
        <a:xfrm>
          <a:off x="10515600" y="447675"/>
          <a:ext cx="495300"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66675</xdr:colOff>
      <xdr:row>33</xdr:row>
      <xdr:rowOff>19050</xdr:rowOff>
    </xdr:from>
    <xdr:ext cx="401641" cy="396000"/>
    <xdr:pic>
      <xdr:nvPicPr>
        <xdr:cNvPr id="28" name="Picture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0" y="17040225"/>
          <a:ext cx="401641" cy="396000"/>
        </a:xfrm>
        <a:prstGeom prst="rect">
          <a:avLst/>
        </a:prstGeom>
      </xdr:spPr>
    </xdr:pic>
    <xdr:clientData/>
  </xdr:oneCellAnchor>
  <xdr:oneCellAnchor>
    <xdr:from>
      <xdr:col>1</xdr:col>
      <xdr:colOff>133350</xdr:colOff>
      <xdr:row>124</xdr:row>
      <xdr:rowOff>0</xdr:rowOff>
    </xdr:from>
    <xdr:ext cx="324000" cy="324000"/>
    <xdr:pic>
      <xdr:nvPicPr>
        <xdr:cNvPr id="31" name="Picture 30">
          <a:extLst>
            <a:ext uri="{FF2B5EF4-FFF2-40B4-BE49-F238E27FC236}">
              <a16:creationId xmlns:a16="http://schemas.microsoft.com/office/drawing/2014/main" id="{91587FAE-3C90-4E18-AC30-4028CFB97A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24041100"/>
          <a:ext cx="324000" cy="324000"/>
        </a:xfrm>
        <a:prstGeom prst="rect">
          <a:avLst/>
        </a:prstGeom>
      </xdr:spPr>
    </xdr:pic>
    <xdr:clientData/>
  </xdr:oneCellAnchor>
  <xdr:twoCellAnchor editAs="oneCell">
    <xdr:from>
      <xdr:col>1</xdr:col>
      <xdr:colOff>57150</xdr:colOff>
      <xdr:row>126</xdr:row>
      <xdr:rowOff>57150</xdr:rowOff>
    </xdr:from>
    <xdr:to>
      <xdr:col>1</xdr:col>
      <xdr:colOff>489150</xdr:colOff>
      <xdr:row>128</xdr:row>
      <xdr:rowOff>108150</xdr:rowOff>
    </xdr:to>
    <xdr:pic>
      <xdr:nvPicPr>
        <xdr:cNvPr id="33" name="Picture 32">
          <a:extLst>
            <a:ext uri="{FF2B5EF4-FFF2-40B4-BE49-F238E27FC236}">
              <a16:creationId xmlns:a16="http://schemas.microsoft.com/office/drawing/2014/main" id="{26343472-F59D-41B2-BCF1-270286E4E2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24679275"/>
          <a:ext cx="432000" cy="432000"/>
        </a:xfrm>
        <a:prstGeom prst="rect">
          <a:avLst/>
        </a:prstGeom>
      </xdr:spPr>
    </xdr:pic>
    <xdr:clientData/>
  </xdr:twoCellAnchor>
  <xdr:twoCellAnchor editAs="oneCell">
    <xdr:from>
      <xdr:col>1</xdr:col>
      <xdr:colOff>19050</xdr:colOff>
      <xdr:row>115</xdr:row>
      <xdr:rowOff>76200</xdr:rowOff>
    </xdr:from>
    <xdr:to>
      <xdr:col>1</xdr:col>
      <xdr:colOff>379050</xdr:colOff>
      <xdr:row>117</xdr:row>
      <xdr:rowOff>93300</xdr:rowOff>
    </xdr:to>
    <xdr:pic>
      <xdr:nvPicPr>
        <xdr:cNvPr id="23" name="Picture 22">
          <a:extLst>
            <a:ext uri="{FF2B5EF4-FFF2-40B4-BE49-F238E27FC236}">
              <a16:creationId xmlns:a16="http://schemas.microsoft.com/office/drawing/2014/main" id="{52533C99-33A5-4A06-B41F-08B279A21E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5275" y="21840825"/>
          <a:ext cx="360000" cy="360000"/>
        </a:xfrm>
        <a:prstGeom prst="rect">
          <a:avLst/>
        </a:prstGeom>
      </xdr:spPr>
    </xdr:pic>
    <xdr:clientData/>
  </xdr:twoCellAnchor>
  <xdr:twoCellAnchor>
    <xdr:from>
      <xdr:col>9</xdr:col>
      <xdr:colOff>66675</xdr:colOff>
      <xdr:row>62</xdr:row>
      <xdr:rowOff>38100</xdr:rowOff>
    </xdr:from>
    <xdr:to>
      <xdr:col>10</xdr:col>
      <xdr:colOff>361950</xdr:colOff>
      <xdr:row>63</xdr:row>
      <xdr:rowOff>9525</xdr:rowOff>
    </xdr:to>
    <xdr:sp macro="" textlink="">
      <xdr:nvSpPr>
        <xdr:cNvPr id="24" name="Rectangle à coins arrondis 2">
          <a:hlinkClick xmlns:r="http://schemas.openxmlformats.org/officeDocument/2006/relationships" r:id="rId13" tooltip="Resources"/>
          <a:extLst>
            <a:ext uri="{FF2B5EF4-FFF2-40B4-BE49-F238E27FC236}">
              <a16:creationId xmlns:a16="http://schemas.microsoft.com/office/drawing/2014/main" id="{CB410CE2-50AB-45F4-9D77-A307CE5F20D3}"/>
            </a:ext>
          </a:extLst>
        </xdr:cNvPr>
        <xdr:cNvSpPr>
          <a:spLocks noChangeArrowheads="1"/>
        </xdr:cNvSpPr>
      </xdr:nvSpPr>
      <xdr:spPr bwMode="auto">
        <a:xfrm>
          <a:off x="11306175" y="13477875"/>
          <a:ext cx="1343025" cy="3143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Arial" panose="020B0604020202020204" pitchFamily="34" charset="0"/>
              <a:cs typeface="Arial" panose="020B0604020202020204" pitchFamily="34" charset="0"/>
            </a:rPr>
            <a:t>See Table A.1</a:t>
          </a:r>
          <a:endParaRPr lang="fr-FR" sz="11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oneCellAnchor>
    <xdr:from>
      <xdr:col>1</xdr:col>
      <xdr:colOff>47625</xdr:colOff>
      <xdr:row>64</xdr:row>
      <xdr:rowOff>76200</xdr:rowOff>
    </xdr:from>
    <xdr:ext cx="396000" cy="396000"/>
    <xdr:pic>
      <xdr:nvPicPr>
        <xdr:cNvPr id="25" name="Picture 24">
          <a:extLst>
            <a:ext uri="{FF2B5EF4-FFF2-40B4-BE49-F238E27FC236}">
              <a16:creationId xmlns:a16="http://schemas.microsoft.com/office/drawing/2014/main" id="{2BD1689C-F975-4283-AEDE-78496D1285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14011275"/>
          <a:ext cx="396000" cy="396000"/>
        </a:xfrm>
        <a:prstGeom prst="rect">
          <a:avLst/>
        </a:prstGeom>
      </xdr:spPr>
    </xdr:pic>
    <xdr:clientData/>
  </xdr:oneCellAnchor>
  <xdr:twoCellAnchor editAs="oneCell">
    <xdr:from>
      <xdr:col>1</xdr:col>
      <xdr:colOff>57150</xdr:colOff>
      <xdr:row>61</xdr:row>
      <xdr:rowOff>180975</xdr:rowOff>
    </xdr:from>
    <xdr:to>
      <xdr:col>1</xdr:col>
      <xdr:colOff>453150</xdr:colOff>
      <xdr:row>63</xdr:row>
      <xdr:rowOff>43575</xdr:rowOff>
    </xdr:to>
    <xdr:pic>
      <xdr:nvPicPr>
        <xdr:cNvPr id="26" name="Picture 25">
          <a:extLst>
            <a:ext uri="{FF2B5EF4-FFF2-40B4-BE49-F238E27FC236}">
              <a16:creationId xmlns:a16="http://schemas.microsoft.com/office/drawing/2014/main" id="{5DB27FDF-91BA-43DB-99FB-176C40F23B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13430250"/>
          <a:ext cx="396000" cy="396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1</xdr:row>
      <xdr:rowOff>114300</xdr:rowOff>
    </xdr:from>
    <xdr:to>
      <xdr:col>2</xdr:col>
      <xdr:colOff>646500</xdr:colOff>
      <xdr:row>3</xdr:row>
      <xdr:rowOff>57300</xdr:rowOff>
    </xdr:to>
    <xdr:sp macro="" textlink="">
      <xdr:nvSpPr>
        <xdr:cNvPr id="7" name="Rectangle à coins arrondis 2">
          <a:hlinkClick xmlns:r="http://schemas.openxmlformats.org/officeDocument/2006/relationships" r:id="rId1" tooltip="Back to Energy"/>
          <a:extLst>
            <a:ext uri="{FF2B5EF4-FFF2-40B4-BE49-F238E27FC236}">
              <a16:creationId xmlns:a16="http://schemas.microsoft.com/office/drawing/2014/main" id="{00000000-0008-0000-1100-000007000000}"/>
            </a:ext>
          </a:extLst>
        </xdr:cNvPr>
        <xdr:cNvSpPr>
          <a:spLocks noChangeArrowheads="1"/>
        </xdr:cNvSpPr>
      </xdr:nvSpPr>
      <xdr:spPr bwMode="auto">
        <a:xfrm>
          <a:off x="266700" y="438150"/>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1047750</xdr:colOff>
      <xdr:row>1</xdr:row>
      <xdr:rowOff>114300</xdr:rowOff>
    </xdr:from>
    <xdr:to>
      <xdr:col>4</xdr:col>
      <xdr:colOff>856050</xdr:colOff>
      <xdr:row>3</xdr:row>
      <xdr:rowOff>57300</xdr:rowOff>
    </xdr:to>
    <xdr:sp macro="" textlink="">
      <xdr:nvSpPr>
        <xdr:cNvPr id="8" name="Rectangle à coins arrondis 7">
          <a:hlinkClick xmlns:r="http://schemas.openxmlformats.org/officeDocument/2006/relationships" r:id="rId2" tooltip="Scorecard"/>
          <a:extLst>
            <a:ext uri="{FF2B5EF4-FFF2-40B4-BE49-F238E27FC236}">
              <a16:creationId xmlns:a16="http://schemas.microsoft.com/office/drawing/2014/main" id="{00000000-0008-0000-1100-000008000000}"/>
            </a:ext>
          </a:extLst>
        </xdr:cNvPr>
        <xdr:cNvSpPr>
          <a:spLocks noChangeArrowheads="1"/>
        </xdr:cNvSpPr>
      </xdr:nvSpPr>
      <xdr:spPr bwMode="auto">
        <a:xfrm>
          <a:off x="26479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390525</xdr:colOff>
      <xdr:row>1</xdr:row>
      <xdr:rowOff>142875</xdr:rowOff>
    </xdr:from>
    <xdr:to>
      <xdr:col>6</xdr:col>
      <xdr:colOff>269400</xdr:colOff>
      <xdr:row>3</xdr:row>
      <xdr:rowOff>49875</xdr:rowOff>
    </xdr:to>
    <xdr:sp macro="" textlink="">
      <xdr:nvSpPr>
        <xdr:cNvPr id="6" name="Rectangle à coins arrondis 2">
          <a:hlinkClick xmlns:r="http://schemas.openxmlformats.org/officeDocument/2006/relationships" r:id="rId3" tooltip="Strategy A"/>
          <a:extLst>
            <a:ext uri="{FF2B5EF4-FFF2-40B4-BE49-F238E27FC236}">
              <a16:creationId xmlns:a16="http://schemas.microsoft.com/office/drawing/2014/main" id="{00000000-0008-0000-1100-000006000000}"/>
            </a:ext>
          </a:extLst>
        </xdr:cNvPr>
        <xdr:cNvSpPr>
          <a:spLocks noChangeArrowheads="1"/>
        </xdr:cNvSpPr>
      </xdr:nvSpPr>
      <xdr:spPr bwMode="auto">
        <a:xfrm>
          <a:off x="5543550" y="466725"/>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466724</xdr:colOff>
      <xdr:row>1</xdr:row>
      <xdr:rowOff>152400</xdr:rowOff>
    </xdr:from>
    <xdr:to>
      <xdr:col>7</xdr:col>
      <xdr:colOff>431324</xdr:colOff>
      <xdr:row>3</xdr:row>
      <xdr:rowOff>59400</xdr:rowOff>
    </xdr:to>
    <xdr:sp macro="" textlink="">
      <xdr:nvSpPr>
        <xdr:cNvPr id="9" name="Rectangle à coins arrondis 2">
          <a:hlinkClick xmlns:r="http://schemas.openxmlformats.org/officeDocument/2006/relationships" r:id="rId4" tooltip="Strategy B"/>
          <a:extLst>
            <a:ext uri="{FF2B5EF4-FFF2-40B4-BE49-F238E27FC236}">
              <a16:creationId xmlns:a16="http://schemas.microsoft.com/office/drawing/2014/main" id="{00000000-0008-0000-1100-000009000000}"/>
            </a:ext>
          </a:extLst>
        </xdr:cNvPr>
        <xdr:cNvSpPr>
          <a:spLocks noChangeArrowheads="1"/>
        </xdr:cNvSpPr>
      </xdr:nvSpPr>
      <xdr:spPr bwMode="auto">
        <a:xfrm>
          <a:off x="7000874" y="476250"/>
          <a:ext cx="126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57150</xdr:colOff>
      <xdr:row>81</xdr:row>
      <xdr:rowOff>161925</xdr:rowOff>
    </xdr:from>
    <xdr:to>
      <xdr:col>1</xdr:col>
      <xdr:colOff>633150</xdr:colOff>
      <xdr:row>84</xdr:row>
      <xdr:rowOff>109275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18164175"/>
          <a:ext cx="576000" cy="576000"/>
        </a:xfrm>
        <a:prstGeom prst="rect">
          <a:avLst/>
        </a:prstGeom>
      </xdr:spPr>
    </xdr:pic>
    <xdr:clientData/>
  </xdr:twoCellAnchor>
  <xdr:twoCellAnchor editAs="oneCell">
    <xdr:from>
      <xdr:col>1</xdr:col>
      <xdr:colOff>0</xdr:colOff>
      <xdr:row>35</xdr:row>
      <xdr:rowOff>85725</xdr:rowOff>
    </xdr:from>
    <xdr:to>
      <xdr:col>1</xdr:col>
      <xdr:colOff>396000</xdr:colOff>
      <xdr:row>37</xdr:row>
      <xdr:rowOff>100725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781925"/>
          <a:ext cx="396000" cy="396000"/>
        </a:xfrm>
        <a:prstGeom prst="rect">
          <a:avLst/>
        </a:prstGeom>
      </xdr:spPr>
    </xdr:pic>
    <xdr:clientData/>
  </xdr:twoCellAnchor>
  <xdr:twoCellAnchor editAs="oneCell">
    <xdr:from>
      <xdr:col>1</xdr:col>
      <xdr:colOff>47625</xdr:colOff>
      <xdr:row>26</xdr:row>
      <xdr:rowOff>152400</xdr:rowOff>
    </xdr:from>
    <xdr:to>
      <xdr:col>1</xdr:col>
      <xdr:colOff>695625</xdr:colOff>
      <xdr:row>30</xdr:row>
      <xdr:rowOff>38400</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6343650"/>
          <a:ext cx="648000" cy="648000"/>
        </a:xfrm>
        <a:prstGeom prst="rect">
          <a:avLst/>
        </a:prstGeom>
      </xdr:spPr>
    </xdr:pic>
    <xdr:clientData/>
  </xdr:twoCellAnchor>
  <xdr:twoCellAnchor editAs="oneCell">
    <xdr:from>
      <xdr:col>1</xdr:col>
      <xdr:colOff>9525</xdr:colOff>
      <xdr:row>18</xdr:row>
      <xdr:rowOff>95250</xdr:rowOff>
    </xdr:from>
    <xdr:to>
      <xdr:col>1</xdr:col>
      <xdr:colOff>405525</xdr:colOff>
      <xdr:row>20</xdr:row>
      <xdr:rowOff>110250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4676775"/>
          <a:ext cx="396000" cy="396000"/>
        </a:xfrm>
        <a:prstGeom prst="rect">
          <a:avLst/>
        </a:prstGeom>
      </xdr:spPr>
    </xdr:pic>
    <xdr:clientData/>
  </xdr:twoCellAnchor>
  <xdr:twoCellAnchor editAs="oneCell">
    <xdr:from>
      <xdr:col>1</xdr:col>
      <xdr:colOff>57150</xdr:colOff>
      <xdr:row>21</xdr:row>
      <xdr:rowOff>76200</xdr:rowOff>
    </xdr:from>
    <xdr:to>
      <xdr:col>1</xdr:col>
      <xdr:colOff>453150</xdr:colOff>
      <xdr:row>22</xdr:row>
      <xdr:rowOff>119775</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5191125"/>
          <a:ext cx="396000" cy="396000"/>
        </a:xfrm>
        <a:prstGeom prst="rect">
          <a:avLst/>
        </a:prstGeom>
      </xdr:spPr>
    </xdr:pic>
    <xdr:clientData/>
  </xdr:twoCellAnchor>
  <xdr:twoCellAnchor editAs="oneCell">
    <xdr:from>
      <xdr:col>1</xdr:col>
      <xdr:colOff>9525</xdr:colOff>
      <xdr:row>76</xdr:row>
      <xdr:rowOff>104775</xdr:rowOff>
    </xdr:from>
    <xdr:to>
      <xdr:col>1</xdr:col>
      <xdr:colOff>405525</xdr:colOff>
      <xdr:row>78</xdr:row>
      <xdr:rowOff>119775</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15868650"/>
          <a:ext cx="396000" cy="396000"/>
        </a:xfrm>
        <a:prstGeom prst="rect">
          <a:avLst/>
        </a:prstGeom>
      </xdr:spPr>
    </xdr:pic>
    <xdr:clientData/>
  </xdr:twoCellAnchor>
  <xdr:twoCellAnchor editAs="oneCell">
    <xdr:from>
      <xdr:col>1</xdr:col>
      <xdr:colOff>19050</xdr:colOff>
      <xdr:row>85</xdr:row>
      <xdr:rowOff>114300</xdr:rowOff>
    </xdr:from>
    <xdr:to>
      <xdr:col>1</xdr:col>
      <xdr:colOff>379050</xdr:colOff>
      <xdr:row>87</xdr:row>
      <xdr:rowOff>93300</xdr:rowOff>
    </xdr:to>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17421225"/>
          <a:ext cx="360000" cy="360000"/>
        </a:xfrm>
        <a:prstGeom prst="rect">
          <a:avLst/>
        </a:prstGeom>
      </xdr:spPr>
    </xdr:pic>
    <xdr:clientData/>
  </xdr:twoCellAnchor>
  <xdr:oneCellAnchor>
    <xdr:from>
      <xdr:col>1</xdr:col>
      <xdr:colOff>0</xdr:colOff>
      <xdr:row>89</xdr:row>
      <xdr:rowOff>85725</xdr:rowOff>
    </xdr:from>
    <xdr:ext cx="396000" cy="396000"/>
    <xdr:pic>
      <xdr:nvPicPr>
        <xdr:cNvPr id="17" name="Picture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820025"/>
          <a:ext cx="396000" cy="396000"/>
        </a:xfrm>
        <a:prstGeom prst="rect">
          <a:avLst/>
        </a:prstGeom>
      </xdr:spPr>
    </xdr:pic>
    <xdr:clientData/>
  </xdr:oneCellAnchor>
  <xdr:twoCellAnchor>
    <xdr:from>
      <xdr:col>7</xdr:col>
      <xdr:colOff>1181100</xdr:colOff>
      <xdr:row>1</xdr:row>
      <xdr:rowOff>114300</xdr:rowOff>
    </xdr:from>
    <xdr:to>
      <xdr:col>8</xdr:col>
      <xdr:colOff>190500</xdr:colOff>
      <xdr:row>3</xdr:row>
      <xdr:rowOff>85725</xdr:rowOff>
    </xdr:to>
    <xdr:sp macro="" textlink="">
      <xdr:nvSpPr>
        <xdr:cNvPr id="18" name="Up Arrow 17">
          <a:hlinkClick xmlns:r="http://schemas.openxmlformats.org/officeDocument/2006/relationships" r:id="rId10" tooltip="Back to top"/>
          <a:extLst>
            <a:ext uri="{FF2B5EF4-FFF2-40B4-BE49-F238E27FC236}">
              <a16:creationId xmlns:a16="http://schemas.microsoft.com/office/drawing/2014/main" id="{00000000-0008-0000-1100-000012000000}"/>
            </a:ext>
          </a:extLst>
        </xdr:cNvPr>
        <xdr:cNvSpPr/>
      </xdr:nvSpPr>
      <xdr:spPr>
        <a:xfrm>
          <a:off x="9010650" y="43815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28576</xdr:colOff>
      <xdr:row>79</xdr:row>
      <xdr:rowOff>38100</xdr:rowOff>
    </xdr:from>
    <xdr:to>
      <xdr:col>1</xdr:col>
      <xdr:colOff>503242</xdr:colOff>
      <xdr:row>79</xdr:row>
      <xdr:rowOff>506100</xdr:rowOff>
    </xdr:to>
    <xdr:pic>
      <xdr:nvPicPr>
        <xdr:cNvPr id="19" name="Picture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1" y="17211675"/>
          <a:ext cx="474666" cy="468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1</xdr:row>
      <xdr:rowOff>114300</xdr:rowOff>
    </xdr:from>
    <xdr:to>
      <xdr:col>2</xdr:col>
      <xdr:colOff>750300</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200-000002000000}"/>
            </a:ext>
          </a:extLst>
        </xdr:cNvPr>
        <xdr:cNvSpPr>
          <a:spLocks noChangeArrowheads="1"/>
        </xdr:cNvSpPr>
      </xdr:nvSpPr>
      <xdr:spPr bwMode="auto">
        <a:xfrm>
          <a:off x="24765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1247775</xdr:colOff>
      <xdr:row>1</xdr:row>
      <xdr:rowOff>114300</xdr:rowOff>
    </xdr:from>
    <xdr:to>
      <xdr:col>4</xdr:col>
      <xdr:colOff>645525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200-000003000000}"/>
            </a:ext>
          </a:extLst>
        </xdr:cNvPr>
        <xdr:cNvSpPr>
          <a:spLocks noChangeArrowheads="1"/>
        </xdr:cNvSpPr>
      </xdr:nvSpPr>
      <xdr:spPr bwMode="auto">
        <a:xfrm>
          <a:off x="290512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7</xdr:col>
      <xdr:colOff>552450</xdr:colOff>
      <xdr:row>1</xdr:row>
      <xdr:rowOff>85725</xdr:rowOff>
    </xdr:from>
    <xdr:to>
      <xdr:col>7</xdr:col>
      <xdr:colOff>1000125</xdr:colOff>
      <xdr:row>3</xdr:row>
      <xdr:rowOff>57150</xdr:rowOff>
    </xdr:to>
    <xdr:sp macro="" textlink="">
      <xdr:nvSpPr>
        <xdr:cNvPr id="10" name="Up Arrow 9">
          <a:hlinkClick xmlns:r="http://schemas.openxmlformats.org/officeDocument/2006/relationships" r:id="rId3" tooltip="Back to top"/>
          <a:extLst>
            <a:ext uri="{FF2B5EF4-FFF2-40B4-BE49-F238E27FC236}">
              <a16:creationId xmlns:a16="http://schemas.microsoft.com/office/drawing/2014/main" id="{00000000-0008-0000-1200-00000A000000}"/>
            </a:ext>
          </a:extLst>
        </xdr:cNvPr>
        <xdr:cNvSpPr/>
      </xdr:nvSpPr>
      <xdr:spPr>
        <a:xfrm>
          <a:off x="9267825" y="4095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66675</xdr:colOff>
      <xdr:row>17</xdr:row>
      <xdr:rowOff>142875</xdr:rowOff>
    </xdr:from>
    <xdr:to>
      <xdr:col>1</xdr:col>
      <xdr:colOff>570675</xdr:colOff>
      <xdr:row>20</xdr:row>
      <xdr:rowOff>18225</xdr:rowOff>
    </xdr:to>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3771900"/>
          <a:ext cx="504000" cy="504000"/>
        </a:xfrm>
        <a:prstGeom prst="rect">
          <a:avLst/>
        </a:prstGeom>
      </xdr:spPr>
    </xdr:pic>
    <xdr:clientData/>
  </xdr:twoCellAnchor>
  <xdr:oneCellAnchor>
    <xdr:from>
      <xdr:col>1</xdr:col>
      <xdr:colOff>0</xdr:colOff>
      <xdr:row>14</xdr:row>
      <xdr:rowOff>66675</xdr:rowOff>
    </xdr:from>
    <xdr:ext cx="401641" cy="396000"/>
    <xdr:pic>
      <xdr:nvPicPr>
        <xdr:cNvPr id="12" name="Picture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3162300"/>
          <a:ext cx="401641" cy="396000"/>
        </a:xfrm>
        <a:prstGeom prst="rect">
          <a:avLst/>
        </a:prstGeom>
      </xdr:spPr>
    </xdr:pic>
    <xdr:clientData/>
  </xdr:oneCellAnchor>
  <xdr:twoCellAnchor editAs="oneCell">
    <xdr:from>
      <xdr:col>1</xdr:col>
      <xdr:colOff>28575</xdr:colOff>
      <xdr:row>21</xdr:row>
      <xdr:rowOff>161925</xdr:rowOff>
    </xdr:from>
    <xdr:to>
      <xdr:col>1</xdr:col>
      <xdr:colOff>388575</xdr:colOff>
      <xdr:row>23</xdr:row>
      <xdr:rowOff>102825</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4552950"/>
          <a:ext cx="360000" cy="3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514351</xdr:colOff>
      <xdr:row>0</xdr:row>
      <xdr:rowOff>38100</xdr:rowOff>
    </xdr:from>
    <xdr:to>
      <xdr:col>14</xdr:col>
      <xdr:colOff>555151</xdr:colOff>
      <xdr:row>0</xdr:row>
      <xdr:rowOff>326100</xdr:rowOff>
    </xdr:to>
    <xdr:sp macro="" textlink="">
      <xdr:nvSpPr>
        <xdr:cNvPr id="30" name="Rectangle à coins arrondis 2">
          <a:hlinkClick xmlns:r="http://schemas.openxmlformats.org/officeDocument/2006/relationships" r:id="rId1" tooltip="Scorecard"/>
          <a:extLst>
            <a:ext uri="{FF2B5EF4-FFF2-40B4-BE49-F238E27FC236}">
              <a16:creationId xmlns:a16="http://schemas.microsoft.com/office/drawing/2014/main" id="{00000000-0008-0000-0200-00001E000000}"/>
            </a:ext>
          </a:extLst>
        </xdr:cNvPr>
        <xdr:cNvSpPr>
          <a:spLocks noChangeArrowheads="1"/>
        </xdr:cNvSpPr>
      </xdr:nvSpPr>
      <xdr:spPr bwMode="auto">
        <a:xfrm>
          <a:off x="7734301"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10</xdr:col>
      <xdr:colOff>491599</xdr:colOff>
      <xdr:row>0</xdr:row>
      <xdr:rowOff>38100</xdr:rowOff>
    </xdr:from>
    <xdr:to>
      <xdr:col>12</xdr:col>
      <xdr:colOff>360949</xdr:colOff>
      <xdr:row>0</xdr:row>
      <xdr:rowOff>326100</xdr:rowOff>
    </xdr:to>
    <xdr:sp macro="" textlink="">
      <xdr:nvSpPr>
        <xdr:cNvPr id="31" name="Rectangle à coins arrondis 2">
          <a:hlinkClick xmlns:r="http://schemas.openxmlformats.org/officeDocument/2006/relationships" r:id="rId2" tooltip="Instructions"/>
          <a:extLst>
            <a:ext uri="{FF2B5EF4-FFF2-40B4-BE49-F238E27FC236}">
              <a16:creationId xmlns:a16="http://schemas.microsoft.com/office/drawing/2014/main" id="{00000000-0008-0000-0200-00001F000000}"/>
            </a:ext>
          </a:extLst>
        </xdr:cNvPr>
        <xdr:cNvSpPr>
          <a:spLocks noChangeArrowheads="1"/>
        </xdr:cNvSpPr>
      </xdr:nvSpPr>
      <xdr:spPr bwMode="auto">
        <a:xfrm>
          <a:off x="6320899"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8</xdr:col>
      <xdr:colOff>314325</xdr:colOff>
      <xdr:row>0</xdr:row>
      <xdr:rowOff>38100</xdr:rowOff>
    </xdr:from>
    <xdr:to>
      <xdr:col>10</xdr:col>
      <xdr:colOff>355125</xdr:colOff>
      <xdr:row>0</xdr:row>
      <xdr:rowOff>326100</xdr:rowOff>
    </xdr:to>
    <xdr:sp macro="" textlink="">
      <xdr:nvSpPr>
        <xdr:cNvPr id="32" name="Rectangle à coins arrondis 2">
          <a:hlinkClick xmlns:r="http://schemas.openxmlformats.org/officeDocument/2006/relationships" r:id="rId3" tooltip="Introduction"/>
          <a:extLst>
            <a:ext uri="{FF2B5EF4-FFF2-40B4-BE49-F238E27FC236}">
              <a16:creationId xmlns:a16="http://schemas.microsoft.com/office/drawing/2014/main" id="{00000000-0008-0000-0200-000020000000}"/>
            </a:ext>
          </a:extLst>
        </xdr:cNvPr>
        <xdr:cNvSpPr>
          <a:spLocks noChangeArrowheads="1"/>
        </xdr:cNvSpPr>
      </xdr:nvSpPr>
      <xdr:spPr bwMode="auto">
        <a:xfrm>
          <a:off x="4924425"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xdr:col>
      <xdr:colOff>380775</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300-000002000000}"/>
            </a:ext>
          </a:extLst>
        </xdr:cNvPr>
        <xdr:cNvSpPr>
          <a:spLocks noChangeArrowheads="1"/>
        </xdr:cNvSpPr>
      </xdr:nvSpPr>
      <xdr:spPr bwMode="auto">
        <a:xfrm>
          <a:off x="285750" y="438150"/>
          <a:ext cx="178095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781050</xdr:colOff>
      <xdr:row>1</xdr:row>
      <xdr:rowOff>114300</xdr:rowOff>
    </xdr:from>
    <xdr:to>
      <xdr:col>3</xdr:col>
      <xdr:colOff>1199925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300-000003000000}"/>
            </a:ext>
          </a:extLst>
        </xdr:cNvPr>
        <xdr:cNvSpPr>
          <a:spLocks noChangeArrowheads="1"/>
        </xdr:cNvSpPr>
      </xdr:nvSpPr>
      <xdr:spPr bwMode="auto">
        <a:xfrm>
          <a:off x="2466975" y="438150"/>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666750</xdr:colOff>
      <xdr:row>1</xdr:row>
      <xdr:rowOff>142875</xdr:rowOff>
    </xdr:from>
    <xdr:to>
      <xdr:col>5</xdr:col>
      <xdr:colOff>289425</xdr:colOff>
      <xdr:row>3</xdr:row>
      <xdr:rowOff>49875</xdr:rowOff>
    </xdr:to>
    <xdr:sp macro="" textlink="">
      <xdr:nvSpPr>
        <xdr:cNvPr id="4" name="Rectangle à coins arrondis 2">
          <a:hlinkClick xmlns:r="http://schemas.openxmlformats.org/officeDocument/2006/relationships" r:id="rId3" tooltip="E-BPC-1"/>
          <a:extLst>
            <a:ext uri="{FF2B5EF4-FFF2-40B4-BE49-F238E27FC236}">
              <a16:creationId xmlns:a16="http://schemas.microsoft.com/office/drawing/2014/main" id="{00000000-0008-0000-1300-000004000000}"/>
            </a:ext>
          </a:extLst>
        </xdr:cNvPr>
        <xdr:cNvSpPr>
          <a:spLocks noChangeArrowheads="1"/>
        </xdr:cNvSpPr>
      </xdr:nvSpPr>
      <xdr:spPr bwMode="auto">
        <a:xfrm>
          <a:off x="5114925" y="466725"/>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E-BPC-1</a:t>
          </a:r>
        </a:p>
      </xdr:txBody>
    </xdr:sp>
    <xdr:clientData/>
  </xdr:twoCellAnchor>
  <xdr:twoCellAnchor>
    <xdr:from>
      <xdr:col>5</xdr:col>
      <xdr:colOff>542925</xdr:colOff>
      <xdr:row>1</xdr:row>
      <xdr:rowOff>142875</xdr:rowOff>
    </xdr:from>
    <xdr:to>
      <xdr:col>6</xdr:col>
      <xdr:colOff>241800</xdr:colOff>
      <xdr:row>3</xdr:row>
      <xdr:rowOff>49875</xdr:rowOff>
    </xdr:to>
    <xdr:sp macro="" textlink="">
      <xdr:nvSpPr>
        <xdr:cNvPr id="5" name="Rectangle à coins arrondis 2">
          <a:hlinkClick xmlns:r="http://schemas.openxmlformats.org/officeDocument/2006/relationships" r:id="rId4" tooltip="E-BPC-2"/>
          <a:extLst>
            <a:ext uri="{FF2B5EF4-FFF2-40B4-BE49-F238E27FC236}">
              <a16:creationId xmlns:a16="http://schemas.microsoft.com/office/drawing/2014/main" id="{00000000-0008-0000-1300-000005000000}"/>
            </a:ext>
          </a:extLst>
        </xdr:cNvPr>
        <xdr:cNvSpPr>
          <a:spLocks noChangeArrowheads="1"/>
        </xdr:cNvSpPr>
      </xdr:nvSpPr>
      <xdr:spPr bwMode="auto">
        <a:xfrm>
          <a:off x="6448425" y="466725"/>
          <a:ext cx="1080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E-BPC-2</a:t>
          </a:r>
        </a:p>
      </xdr:txBody>
    </xdr:sp>
    <xdr:clientData/>
  </xdr:twoCellAnchor>
  <xdr:twoCellAnchor editAs="oneCell">
    <xdr:from>
      <xdr:col>1</xdr:col>
      <xdr:colOff>38100</xdr:colOff>
      <xdr:row>25</xdr:row>
      <xdr:rowOff>123825</xdr:rowOff>
    </xdr:from>
    <xdr:to>
      <xdr:col>1</xdr:col>
      <xdr:colOff>398100</xdr:colOff>
      <xdr:row>27</xdr:row>
      <xdr:rowOff>74250</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2900" y="17754600"/>
          <a:ext cx="360000" cy="360000"/>
        </a:xfrm>
        <a:prstGeom prst="rect">
          <a:avLst/>
        </a:prstGeom>
      </xdr:spPr>
    </xdr:pic>
    <xdr:clientData/>
  </xdr:twoCellAnchor>
  <xdr:twoCellAnchor editAs="oneCell">
    <xdr:from>
      <xdr:col>1</xdr:col>
      <xdr:colOff>57150</xdr:colOff>
      <xdr:row>19</xdr:row>
      <xdr:rowOff>180975</xdr:rowOff>
    </xdr:from>
    <xdr:to>
      <xdr:col>1</xdr:col>
      <xdr:colOff>633150</xdr:colOff>
      <xdr:row>22</xdr:row>
      <xdr:rowOff>185475</xdr:rowOff>
    </xdr:to>
    <xdr:pic>
      <xdr:nvPicPr>
        <xdr:cNvPr id="13" name="Picture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50" y="4552950"/>
          <a:ext cx="576000" cy="576000"/>
        </a:xfrm>
        <a:prstGeom prst="rect">
          <a:avLst/>
        </a:prstGeom>
      </xdr:spPr>
    </xdr:pic>
    <xdr:clientData/>
  </xdr:twoCellAnchor>
  <xdr:twoCellAnchor>
    <xdr:from>
      <xdr:col>7</xdr:col>
      <xdr:colOff>400050</xdr:colOff>
      <xdr:row>1</xdr:row>
      <xdr:rowOff>104775</xdr:rowOff>
    </xdr:from>
    <xdr:to>
      <xdr:col>7</xdr:col>
      <xdr:colOff>847725</xdr:colOff>
      <xdr:row>3</xdr:row>
      <xdr:rowOff>76200</xdr:rowOff>
    </xdr:to>
    <xdr:sp macro="" textlink="">
      <xdr:nvSpPr>
        <xdr:cNvPr id="14" name="Up Arrow 13">
          <a:hlinkClick xmlns:r="http://schemas.openxmlformats.org/officeDocument/2006/relationships" r:id="rId7" tooltip="Back to top"/>
          <a:extLst>
            <a:ext uri="{FF2B5EF4-FFF2-40B4-BE49-F238E27FC236}">
              <a16:creationId xmlns:a16="http://schemas.microsoft.com/office/drawing/2014/main" id="{00000000-0008-0000-1300-00000E000000}"/>
            </a:ext>
          </a:extLst>
        </xdr:cNvPr>
        <xdr:cNvSpPr/>
      </xdr:nvSpPr>
      <xdr:spPr>
        <a:xfrm>
          <a:off x="8858250"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28575</xdr:colOff>
      <xdr:row>49</xdr:row>
      <xdr:rowOff>66675</xdr:rowOff>
    </xdr:from>
    <xdr:to>
      <xdr:col>1</xdr:col>
      <xdr:colOff>496575</xdr:colOff>
      <xdr:row>51</xdr:row>
      <xdr:rowOff>153675</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22888575"/>
          <a:ext cx="468000" cy="468000"/>
        </a:xfrm>
        <a:prstGeom prst="rect">
          <a:avLst/>
        </a:prstGeom>
      </xdr:spPr>
    </xdr:pic>
    <xdr:clientData/>
  </xdr:twoCellAnchor>
  <xdr:oneCellAnchor>
    <xdr:from>
      <xdr:col>1</xdr:col>
      <xdr:colOff>38100</xdr:colOff>
      <xdr:row>54</xdr:row>
      <xdr:rowOff>38100</xdr:rowOff>
    </xdr:from>
    <xdr:ext cx="360000" cy="360000"/>
    <xdr:pic>
      <xdr:nvPicPr>
        <xdr:cNvPr id="16" name="Picture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2900" y="23812500"/>
          <a:ext cx="360000" cy="360000"/>
        </a:xfrm>
        <a:prstGeom prst="rect">
          <a:avLst/>
        </a:prstGeom>
      </xdr:spPr>
    </xdr:pic>
    <xdr:clientData/>
  </xdr:oneCellAnchor>
  <xdr:oneCellAnchor>
    <xdr:from>
      <xdr:col>1</xdr:col>
      <xdr:colOff>19050</xdr:colOff>
      <xdr:row>70</xdr:row>
      <xdr:rowOff>0</xdr:rowOff>
    </xdr:from>
    <xdr:ext cx="360000" cy="360000"/>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26850975"/>
          <a:ext cx="360000" cy="360000"/>
        </a:xfrm>
        <a:prstGeom prst="rect">
          <a:avLst/>
        </a:prstGeom>
      </xdr:spPr>
    </xdr:pic>
    <xdr:clientData/>
  </xdr:oneCellAnchor>
  <xdr:oneCellAnchor>
    <xdr:from>
      <xdr:col>1</xdr:col>
      <xdr:colOff>28575</xdr:colOff>
      <xdr:row>65</xdr:row>
      <xdr:rowOff>47625</xdr:rowOff>
    </xdr:from>
    <xdr:ext cx="360000" cy="360000"/>
    <xdr:pic>
      <xdr:nvPicPr>
        <xdr:cNvPr id="18" name="Picture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26012775"/>
          <a:ext cx="360000" cy="36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9</xdr:col>
      <xdr:colOff>155037</xdr:colOff>
      <xdr:row>0</xdr:row>
      <xdr:rowOff>74082</xdr:rowOff>
    </xdr:from>
    <xdr:to>
      <xdr:col>11</xdr:col>
      <xdr:colOff>190501</xdr:colOff>
      <xdr:row>4</xdr:row>
      <xdr:rowOff>97906</xdr:rowOff>
    </xdr:to>
    <xdr:pic>
      <xdr:nvPicPr>
        <xdr:cNvPr id="2" name="Image 2" descr="Water.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605954" y="74082"/>
          <a:ext cx="882130" cy="912824"/>
        </a:xfrm>
        <a:prstGeom prst="rect">
          <a:avLst/>
        </a:prstGeom>
        <a:noFill/>
        <a:ln w="9525">
          <a:noFill/>
          <a:miter lim="800000"/>
          <a:headEnd/>
          <a:tailEnd/>
        </a:ln>
      </xdr:spPr>
    </xdr:pic>
    <xdr:clientData/>
  </xdr:twoCellAnchor>
  <xdr:twoCellAnchor>
    <xdr:from>
      <xdr:col>0</xdr:col>
      <xdr:colOff>338666</xdr:colOff>
      <xdr:row>11</xdr:row>
      <xdr:rowOff>42338</xdr:rowOff>
    </xdr:from>
    <xdr:to>
      <xdr:col>1</xdr:col>
      <xdr:colOff>1937666</xdr:colOff>
      <xdr:row>13</xdr:row>
      <xdr:rowOff>10755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1400-000005000000}"/>
            </a:ext>
          </a:extLst>
        </xdr:cNvPr>
        <xdr:cNvSpPr>
          <a:spLocks noChangeArrowheads="1"/>
        </xdr:cNvSpPr>
      </xdr:nvSpPr>
      <xdr:spPr bwMode="auto">
        <a:xfrm>
          <a:off x="338666" y="2984505"/>
          <a:ext cx="1980000"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304799</xdr:colOff>
      <xdr:row>1</xdr:row>
      <xdr:rowOff>104775</xdr:rowOff>
    </xdr:from>
    <xdr:to>
      <xdr:col>2</xdr:col>
      <xdr:colOff>704850</xdr:colOff>
      <xdr:row>3</xdr:row>
      <xdr:rowOff>47775</xdr:rowOff>
    </xdr:to>
    <xdr:sp macro="" textlink="">
      <xdr:nvSpPr>
        <xdr:cNvPr id="2" name="Rectangle à coins arrondis 2">
          <a:hlinkClick xmlns:r="http://schemas.openxmlformats.org/officeDocument/2006/relationships" r:id="rId1" tooltip="Back to Water"/>
          <a:extLst>
            <a:ext uri="{FF2B5EF4-FFF2-40B4-BE49-F238E27FC236}">
              <a16:creationId xmlns:a16="http://schemas.microsoft.com/office/drawing/2014/main" id="{00000000-0008-0000-1500-000002000000}"/>
            </a:ext>
          </a:extLst>
        </xdr:cNvPr>
        <xdr:cNvSpPr>
          <a:spLocks noChangeArrowheads="1"/>
        </xdr:cNvSpPr>
      </xdr:nvSpPr>
      <xdr:spPr bwMode="auto">
        <a:xfrm>
          <a:off x="30479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1009650</xdr:colOff>
      <xdr:row>1</xdr:row>
      <xdr:rowOff>104775</xdr:rowOff>
    </xdr:from>
    <xdr:to>
      <xdr:col>4</xdr:col>
      <xdr:colOff>807450</xdr:colOff>
      <xdr:row>3</xdr:row>
      <xdr:rowOff>47775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500-000003000000}"/>
            </a:ext>
          </a:extLst>
        </xdr:cNvPr>
        <xdr:cNvSpPr>
          <a:spLocks noChangeArrowheads="1"/>
        </xdr:cNvSpPr>
      </xdr:nvSpPr>
      <xdr:spPr bwMode="auto">
        <a:xfrm>
          <a:off x="259080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1181100</xdr:colOff>
      <xdr:row>1</xdr:row>
      <xdr:rowOff>133350</xdr:rowOff>
    </xdr:from>
    <xdr:to>
      <xdr:col>6</xdr:col>
      <xdr:colOff>1325700</xdr:colOff>
      <xdr:row>3</xdr:row>
      <xdr:rowOff>40350</xdr:rowOff>
    </xdr:to>
    <xdr:sp macro="" textlink="">
      <xdr:nvSpPr>
        <xdr:cNvPr id="7" name="Rectangle à coins arrondis 2">
          <a:hlinkClick xmlns:r="http://schemas.openxmlformats.org/officeDocument/2006/relationships" r:id="rId3" tooltip="Option A"/>
          <a:extLst>
            <a:ext uri="{FF2B5EF4-FFF2-40B4-BE49-F238E27FC236}">
              <a16:creationId xmlns:a16="http://schemas.microsoft.com/office/drawing/2014/main" id="{00000000-0008-0000-1500-000007000000}"/>
            </a:ext>
          </a:extLst>
        </xdr:cNvPr>
        <xdr:cNvSpPr>
          <a:spLocks noChangeArrowheads="1"/>
        </xdr:cNvSpPr>
      </xdr:nvSpPr>
      <xdr:spPr bwMode="auto">
        <a:xfrm>
          <a:off x="6496050" y="428625"/>
          <a:ext cx="1440000" cy="28800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ysClr val="windowText" lastClr="000000"/>
              </a:solidFill>
              <a:latin typeface="Arial" panose="020B0604020202020204" pitchFamily="34" charset="0"/>
              <a:cs typeface="Arial" panose="020B0604020202020204" pitchFamily="34" charset="0"/>
            </a:rPr>
            <a:t>Option</a:t>
          </a:r>
          <a:r>
            <a:rPr lang="fr-FR" sz="1300" b="0" i="0" u="none" strike="noStrike" baseline="0">
              <a:solidFill>
                <a:schemeClr val="bg1"/>
              </a:solidFill>
              <a:latin typeface="Arial" panose="020B0604020202020204" pitchFamily="34" charset="0"/>
              <a:cs typeface="Arial" panose="020B0604020202020204" pitchFamily="34" charset="0"/>
            </a:rPr>
            <a:t> </a:t>
          </a:r>
          <a:r>
            <a:rPr lang="fr-FR" sz="1300" b="0" i="0" u="none" strike="noStrike" baseline="0">
              <a:solidFill>
                <a:sysClr val="windowText" lastClr="000000"/>
              </a:solidFill>
              <a:latin typeface="Arial" panose="020B0604020202020204" pitchFamily="34" charset="0"/>
              <a:cs typeface="Arial" panose="020B0604020202020204" pitchFamily="34" charset="0"/>
            </a:rPr>
            <a:t>A</a:t>
          </a:r>
        </a:p>
      </xdr:txBody>
    </xdr:sp>
    <xdr:clientData/>
  </xdr:twoCellAnchor>
  <xdr:twoCellAnchor>
    <xdr:from>
      <xdr:col>7</xdr:col>
      <xdr:colOff>57149</xdr:colOff>
      <xdr:row>1</xdr:row>
      <xdr:rowOff>133350</xdr:rowOff>
    </xdr:from>
    <xdr:to>
      <xdr:col>8</xdr:col>
      <xdr:colOff>106499</xdr:colOff>
      <xdr:row>3</xdr:row>
      <xdr:rowOff>40350</xdr:rowOff>
    </xdr:to>
    <xdr:sp macro="" textlink="">
      <xdr:nvSpPr>
        <xdr:cNvPr id="8" name="Rectangle à coins arrondis 2">
          <a:hlinkClick xmlns:r="http://schemas.openxmlformats.org/officeDocument/2006/relationships" r:id="rId4" tooltip="Option B"/>
          <a:extLst>
            <a:ext uri="{FF2B5EF4-FFF2-40B4-BE49-F238E27FC236}">
              <a16:creationId xmlns:a16="http://schemas.microsoft.com/office/drawing/2014/main" id="{00000000-0008-0000-1500-000008000000}"/>
            </a:ext>
          </a:extLst>
        </xdr:cNvPr>
        <xdr:cNvSpPr>
          <a:spLocks noChangeArrowheads="1"/>
        </xdr:cNvSpPr>
      </xdr:nvSpPr>
      <xdr:spPr bwMode="auto">
        <a:xfrm>
          <a:off x="8086724" y="428625"/>
          <a:ext cx="144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1</xdr:col>
      <xdr:colOff>266700</xdr:colOff>
      <xdr:row>34</xdr:row>
      <xdr:rowOff>200025</xdr:rowOff>
    </xdr:from>
    <xdr:to>
      <xdr:col>2</xdr:col>
      <xdr:colOff>278925</xdr:colOff>
      <xdr:row>36</xdr:row>
      <xdr:rowOff>11775</xdr:rowOff>
    </xdr:to>
    <xdr:sp macro="" textlink="">
      <xdr:nvSpPr>
        <xdr:cNvPr id="16" name="Rectangle à coins arrondis 2">
          <a:hlinkClick xmlns:r="http://schemas.openxmlformats.org/officeDocument/2006/relationships" r:id="rId5" tooltip="Strategy A"/>
          <a:extLst>
            <a:ext uri="{FF2B5EF4-FFF2-40B4-BE49-F238E27FC236}">
              <a16:creationId xmlns:a16="http://schemas.microsoft.com/office/drawing/2014/main" id="{00000000-0008-0000-1500-000010000000}"/>
            </a:ext>
          </a:extLst>
        </xdr:cNvPr>
        <xdr:cNvSpPr>
          <a:spLocks noChangeArrowheads="1"/>
        </xdr:cNvSpPr>
      </xdr:nvSpPr>
      <xdr:spPr bwMode="auto">
        <a:xfrm>
          <a:off x="600075"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A1</a:t>
          </a:r>
        </a:p>
      </xdr:txBody>
    </xdr:sp>
    <xdr:clientData/>
  </xdr:twoCellAnchor>
  <xdr:twoCellAnchor>
    <xdr:from>
      <xdr:col>2</xdr:col>
      <xdr:colOff>390524</xdr:colOff>
      <xdr:row>34</xdr:row>
      <xdr:rowOff>200025</xdr:rowOff>
    </xdr:from>
    <xdr:to>
      <xdr:col>3</xdr:col>
      <xdr:colOff>402749</xdr:colOff>
      <xdr:row>36</xdr:row>
      <xdr:rowOff>11775</xdr:rowOff>
    </xdr:to>
    <xdr:sp macro="" textlink="">
      <xdr:nvSpPr>
        <xdr:cNvPr id="17" name="Rectangle à coins arrondis 2">
          <a:hlinkClick xmlns:r="http://schemas.openxmlformats.org/officeDocument/2006/relationships" r:id="rId6" tooltip="Strategy A2"/>
          <a:extLst>
            <a:ext uri="{FF2B5EF4-FFF2-40B4-BE49-F238E27FC236}">
              <a16:creationId xmlns:a16="http://schemas.microsoft.com/office/drawing/2014/main" id="{00000000-0008-0000-1500-000011000000}"/>
            </a:ext>
          </a:extLst>
        </xdr:cNvPr>
        <xdr:cNvSpPr>
          <a:spLocks noChangeArrowheads="1"/>
        </xdr:cNvSpPr>
      </xdr:nvSpPr>
      <xdr:spPr bwMode="auto">
        <a:xfrm>
          <a:off x="1971674"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A2</a:t>
          </a:r>
        </a:p>
      </xdr:txBody>
    </xdr:sp>
    <xdr:clientData/>
  </xdr:twoCellAnchor>
  <xdr:twoCellAnchor>
    <xdr:from>
      <xdr:col>3</xdr:col>
      <xdr:colOff>542925</xdr:colOff>
      <xdr:row>34</xdr:row>
      <xdr:rowOff>200025</xdr:rowOff>
    </xdr:from>
    <xdr:to>
      <xdr:col>4</xdr:col>
      <xdr:colOff>688500</xdr:colOff>
      <xdr:row>36</xdr:row>
      <xdr:rowOff>11775</xdr:rowOff>
    </xdr:to>
    <xdr:sp macro="" textlink="">
      <xdr:nvSpPr>
        <xdr:cNvPr id="18" name="Rectangle à coins arrondis 2">
          <a:hlinkClick xmlns:r="http://schemas.openxmlformats.org/officeDocument/2006/relationships" r:id="rId7" tooltip="Strategy A3"/>
          <a:extLst>
            <a:ext uri="{FF2B5EF4-FFF2-40B4-BE49-F238E27FC236}">
              <a16:creationId xmlns:a16="http://schemas.microsoft.com/office/drawing/2014/main" id="{00000000-0008-0000-1500-000012000000}"/>
            </a:ext>
          </a:extLst>
        </xdr:cNvPr>
        <xdr:cNvSpPr>
          <a:spLocks noChangeArrowheads="1"/>
        </xdr:cNvSpPr>
      </xdr:nvSpPr>
      <xdr:spPr bwMode="auto">
        <a:xfrm>
          <a:off x="3371850"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A3</a:t>
          </a:r>
        </a:p>
      </xdr:txBody>
    </xdr:sp>
    <xdr:clientData/>
  </xdr:twoCellAnchor>
  <xdr:twoCellAnchor>
    <xdr:from>
      <xdr:col>1</xdr:col>
      <xdr:colOff>266700</xdr:colOff>
      <xdr:row>252</xdr:row>
      <xdr:rowOff>200025</xdr:rowOff>
    </xdr:from>
    <xdr:to>
      <xdr:col>2</xdr:col>
      <xdr:colOff>278925</xdr:colOff>
      <xdr:row>254</xdr:row>
      <xdr:rowOff>11775</xdr:rowOff>
    </xdr:to>
    <xdr:sp macro="" textlink="">
      <xdr:nvSpPr>
        <xdr:cNvPr id="19" name="Rectangle à coins arrondis 2">
          <a:hlinkClick xmlns:r="http://schemas.openxmlformats.org/officeDocument/2006/relationships" r:id="rId8" tooltip="Strategy B1"/>
          <a:extLst>
            <a:ext uri="{FF2B5EF4-FFF2-40B4-BE49-F238E27FC236}">
              <a16:creationId xmlns:a16="http://schemas.microsoft.com/office/drawing/2014/main" id="{00000000-0008-0000-1500-000013000000}"/>
            </a:ext>
          </a:extLst>
        </xdr:cNvPr>
        <xdr:cNvSpPr>
          <a:spLocks noChangeArrowheads="1"/>
        </xdr:cNvSpPr>
      </xdr:nvSpPr>
      <xdr:spPr bwMode="auto">
        <a:xfrm>
          <a:off x="600075"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B1</a:t>
          </a:r>
        </a:p>
      </xdr:txBody>
    </xdr:sp>
    <xdr:clientData/>
  </xdr:twoCellAnchor>
  <xdr:twoCellAnchor>
    <xdr:from>
      <xdr:col>2</xdr:col>
      <xdr:colOff>390524</xdr:colOff>
      <xdr:row>252</xdr:row>
      <xdr:rowOff>200025</xdr:rowOff>
    </xdr:from>
    <xdr:to>
      <xdr:col>3</xdr:col>
      <xdr:colOff>402749</xdr:colOff>
      <xdr:row>254</xdr:row>
      <xdr:rowOff>11775</xdr:rowOff>
    </xdr:to>
    <xdr:sp macro="" textlink="">
      <xdr:nvSpPr>
        <xdr:cNvPr id="20" name="Rectangle à coins arrondis 2">
          <a:hlinkClick xmlns:r="http://schemas.openxmlformats.org/officeDocument/2006/relationships" r:id="rId9" tooltip="Strategy B2"/>
          <a:extLst>
            <a:ext uri="{FF2B5EF4-FFF2-40B4-BE49-F238E27FC236}">
              <a16:creationId xmlns:a16="http://schemas.microsoft.com/office/drawing/2014/main" id="{00000000-0008-0000-1500-000014000000}"/>
            </a:ext>
          </a:extLst>
        </xdr:cNvPr>
        <xdr:cNvSpPr>
          <a:spLocks noChangeArrowheads="1"/>
        </xdr:cNvSpPr>
      </xdr:nvSpPr>
      <xdr:spPr bwMode="auto">
        <a:xfrm>
          <a:off x="1971674" y="19783425"/>
          <a:ext cx="126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B2</a:t>
          </a:r>
        </a:p>
      </xdr:txBody>
    </xdr:sp>
    <xdr:clientData/>
  </xdr:twoCellAnchor>
  <xdr:oneCellAnchor>
    <xdr:from>
      <xdr:col>0</xdr:col>
      <xdr:colOff>323850</xdr:colOff>
      <xdr:row>105</xdr:row>
      <xdr:rowOff>95250</xdr:rowOff>
    </xdr:from>
    <xdr:ext cx="396000" cy="396000"/>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19783425"/>
          <a:ext cx="396000" cy="396000"/>
        </a:xfrm>
        <a:prstGeom prst="rect">
          <a:avLst/>
        </a:prstGeom>
      </xdr:spPr>
    </xdr:pic>
    <xdr:clientData/>
  </xdr:oneCellAnchor>
  <xdr:twoCellAnchor editAs="oneCell">
    <xdr:from>
      <xdr:col>1</xdr:col>
      <xdr:colOff>47625</xdr:colOff>
      <xdr:row>170</xdr:row>
      <xdr:rowOff>66675</xdr:rowOff>
    </xdr:from>
    <xdr:to>
      <xdr:col>1</xdr:col>
      <xdr:colOff>479625</xdr:colOff>
      <xdr:row>172</xdr:row>
      <xdr:rowOff>117675</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35242500"/>
          <a:ext cx="432000" cy="432000"/>
        </a:xfrm>
        <a:prstGeom prst="rect">
          <a:avLst/>
        </a:prstGeom>
      </xdr:spPr>
    </xdr:pic>
    <xdr:clientData/>
  </xdr:twoCellAnchor>
  <xdr:oneCellAnchor>
    <xdr:from>
      <xdr:col>1</xdr:col>
      <xdr:colOff>0</xdr:colOff>
      <xdr:row>167</xdr:row>
      <xdr:rowOff>161925</xdr:rowOff>
    </xdr:from>
    <xdr:ext cx="396000" cy="396000"/>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34623375"/>
          <a:ext cx="396000" cy="396000"/>
        </a:xfrm>
        <a:prstGeom prst="rect">
          <a:avLst/>
        </a:prstGeom>
      </xdr:spPr>
    </xdr:pic>
    <xdr:clientData/>
  </xdr:oneCellAnchor>
  <xdr:oneCellAnchor>
    <xdr:from>
      <xdr:col>1</xdr:col>
      <xdr:colOff>9525</xdr:colOff>
      <xdr:row>201</xdr:row>
      <xdr:rowOff>104775</xdr:rowOff>
    </xdr:from>
    <xdr:ext cx="360000" cy="360000"/>
    <xdr:pic>
      <xdr:nvPicPr>
        <xdr:cNvPr id="23" name="Picture 22">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900" y="36366450"/>
          <a:ext cx="360000" cy="360000"/>
        </a:xfrm>
        <a:prstGeom prst="rect">
          <a:avLst/>
        </a:prstGeom>
      </xdr:spPr>
    </xdr:pic>
    <xdr:clientData/>
  </xdr:oneCellAnchor>
  <xdr:oneCellAnchor>
    <xdr:from>
      <xdr:col>1</xdr:col>
      <xdr:colOff>9525</xdr:colOff>
      <xdr:row>203</xdr:row>
      <xdr:rowOff>123825</xdr:rowOff>
    </xdr:from>
    <xdr:ext cx="360000" cy="360000"/>
    <xdr:pic>
      <xdr:nvPicPr>
        <xdr:cNvPr id="24" name="Picture 23">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0" y="41548050"/>
          <a:ext cx="360000" cy="360000"/>
        </a:xfrm>
        <a:prstGeom prst="rect">
          <a:avLst/>
        </a:prstGeom>
      </xdr:spPr>
    </xdr:pic>
    <xdr:clientData/>
  </xdr:oneCellAnchor>
  <xdr:twoCellAnchor>
    <xdr:from>
      <xdr:col>6</xdr:col>
      <xdr:colOff>114299</xdr:colOff>
      <xdr:row>109</xdr:row>
      <xdr:rowOff>152400</xdr:rowOff>
    </xdr:from>
    <xdr:to>
      <xdr:col>7</xdr:col>
      <xdr:colOff>1304925</xdr:colOff>
      <xdr:row>111</xdr:row>
      <xdr:rowOff>131400</xdr:rowOff>
    </xdr:to>
    <xdr:sp macro="" textlink="">
      <xdr:nvSpPr>
        <xdr:cNvPr id="25" name="Rectangle à coins arrondis 2">
          <a:hlinkClick xmlns:r="http://schemas.openxmlformats.org/officeDocument/2006/relationships" r:id="rId13" tooltip="Resources"/>
          <a:extLst>
            <a:ext uri="{FF2B5EF4-FFF2-40B4-BE49-F238E27FC236}">
              <a16:creationId xmlns:a16="http://schemas.microsoft.com/office/drawing/2014/main" id="{00000000-0008-0000-1500-000019000000}"/>
            </a:ext>
          </a:extLst>
        </xdr:cNvPr>
        <xdr:cNvSpPr>
          <a:spLocks noChangeArrowheads="1"/>
        </xdr:cNvSpPr>
      </xdr:nvSpPr>
      <xdr:spPr bwMode="auto">
        <a:xfrm>
          <a:off x="6724649" y="25403175"/>
          <a:ext cx="2609851" cy="360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Tables W.2 to W.6</a:t>
          </a:r>
        </a:p>
      </xdr:txBody>
    </xdr:sp>
    <xdr:clientData/>
  </xdr:twoCellAnchor>
  <xdr:oneCellAnchor>
    <xdr:from>
      <xdr:col>1</xdr:col>
      <xdr:colOff>9525</xdr:colOff>
      <xdr:row>173</xdr:row>
      <xdr:rowOff>95250</xdr:rowOff>
    </xdr:from>
    <xdr:ext cx="396000" cy="396000"/>
    <xdr:pic>
      <xdr:nvPicPr>
        <xdr:cNvPr id="27" name="Picture 26">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23698200"/>
          <a:ext cx="396000" cy="396000"/>
        </a:xfrm>
        <a:prstGeom prst="rect">
          <a:avLst/>
        </a:prstGeom>
      </xdr:spPr>
    </xdr:pic>
    <xdr:clientData/>
  </xdr:oneCellAnchor>
  <xdr:oneCellAnchor>
    <xdr:from>
      <xdr:col>1</xdr:col>
      <xdr:colOff>38100</xdr:colOff>
      <xdr:row>225</xdr:row>
      <xdr:rowOff>104775</xdr:rowOff>
    </xdr:from>
    <xdr:ext cx="360000" cy="360000"/>
    <xdr:pic>
      <xdr:nvPicPr>
        <xdr:cNvPr id="28" name="Picture 27">
          <a:extLst>
            <a:ext uri="{FF2B5EF4-FFF2-40B4-BE49-F238E27FC236}">
              <a16:creationId xmlns:a16="http://schemas.microsoft.com/office/drawing/2014/main" id="{00000000-0008-0000-1500-00001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71475" y="41910000"/>
          <a:ext cx="360000" cy="360000"/>
        </a:xfrm>
        <a:prstGeom prst="rect">
          <a:avLst/>
        </a:prstGeom>
      </xdr:spPr>
    </xdr:pic>
    <xdr:clientData/>
  </xdr:oneCellAnchor>
  <xdr:oneCellAnchor>
    <xdr:from>
      <xdr:col>0</xdr:col>
      <xdr:colOff>295275</xdr:colOff>
      <xdr:row>259</xdr:row>
      <xdr:rowOff>9525</xdr:rowOff>
    </xdr:from>
    <xdr:ext cx="396000" cy="396000"/>
    <xdr:pic>
      <xdr:nvPicPr>
        <xdr:cNvPr id="30" name="Picture 29">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52854225"/>
          <a:ext cx="396000" cy="396000"/>
        </a:xfrm>
        <a:prstGeom prst="rect">
          <a:avLst/>
        </a:prstGeom>
      </xdr:spPr>
    </xdr:pic>
    <xdr:clientData/>
  </xdr:oneCellAnchor>
  <xdr:twoCellAnchor>
    <xdr:from>
      <xdr:col>6</xdr:col>
      <xdr:colOff>819150</xdr:colOff>
      <xdr:row>263</xdr:row>
      <xdr:rowOff>152400</xdr:rowOff>
    </xdr:from>
    <xdr:to>
      <xdr:col>7</xdr:col>
      <xdr:colOff>1304925</xdr:colOff>
      <xdr:row>266</xdr:row>
      <xdr:rowOff>87000</xdr:rowOff>
    </xdr:to>
    <xdr:sp macro="" textlink="">
      <xdr:nvSpPr>
        <xdr:cNvPr id="31" name="Rectangle à coins arrondis 2">
          <a:hlinkClick xmlns:r="http://schemas.openxmlformats.org/officeDocument/2006/relationships" r:id="rId13" tooltip="Resources"/>
          <a:extLst>
            <a:ext uri="{FF2B5EF4-FFF2-40B4-BE49-F238E27FC236}">
              <a16:creationId xmlns:a16="http://schemas.microsoft.com/office/drawing/2014/main" id="{00000000-0008-0000-1500-00001F000000}"/>
            </a:ext>
          </a:extLst>
        </xdr:cNvPr>
        <xdr:cNvSpPr>
          <a:spLocks noChangeArrowheads="1"/>
        </xdr:cNvSpPr>
      </xdr:nvSpPr>
      <xdr:spPr bwMode="auto">
        <a:xfrm>
          <a:off x="7429500" y="23850600"/>
          <a:ext cx="1905000"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Tables W.2 to W.6</a:t>
          </a:r>
        </a:p>
      </xdr:txBody>
    </xdr:sp>
    <xdr:clientData/>
  </xdr:twoCellAnchor>
  <xdr:oneCellAnchor>
    <xdr:from>
      <xdr:col>1</xdr:col>
      <xdr:colOff>9525</xdr:colOff>
      <xdr:row>266</xdr:row>
      <xdr:rowOff>95250</xdr:rowOff>
    </xdr:from>
    <xdr:ext cx="396000" cy="396000"/>
    <xdr:pic>
      <xdr:nvPicPr>
        <xdr:cNvPr id="32" name="Picture 31">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24364950"/>
          <a:ext cx="396000" cy="396000"/>
        </a:xfrm>
        <a:prstGeom prst="rect">
          <a:avLst/>
        </a:prstGeom>
      </xdr:spPr>
    </xdr:pic>
    <xdr:clientData/>
  </xdr:oneCellAnchor>
  <xdr:twoCellAnchor>
    <xdr:from>
      <xdr:col>3</xdr:col>
      <xdr:colOff>514350</xdr:colOff>
      <xdr:row>252</xdr:row>
      <xdr:rowOff>200025</xdr:rowOff>
    </xdr:from>
    <xdr:to>
      <xdr:col>4</xdr:col>
      <xdr:colOff>764700</xdr:colOff>
      <xdr:row>254</xdr:row>
      <xdr:rowOff>11775</xdr:rowOff>
    </xdr:to>
    <xdr:sp macro="" textlink="">
      <xdr:nvSpPr>
        <xdr:cNvPr id="33" name="Rectangle à coins arrondis 2">
          <a:hlinkClick xmlns:r="http://schemas.openxmlformats.org/officeDocument/2006/relationships" r:id="rId15" tooltip="Strategy B3"/>
          <a:extLst>
            <a:ext uri="{FF2B5EF4-FFF2-40B4-BE49-F238E27FC236}">
              <a16:creationId xmlns:a16="http://schemas.microsoft.com/office/drawing/2014/main" id="{00000000-0008-0000-1500-000021000000}"/>
            </a:ext>
          </a:extLst>
        </xdr:cNvPr>
        <xdr:cNvSpPr>
          <a:spLocks noChangeArrowheads="1"/>
        </xdr:cNvSpPr>
      </xdr:nvSpPr>
      <xdr:spPr bwMode="auto">
        <a:xfrm>
          <a:off x="3600450" y="46996350"/>
          <a:ext cx="1364775"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B3</a:t>
          </a:r>
        </a:p>
      </xdr:txBody>
    </xdr:sp>
    <xdr:clientData/>
  </xdr:twoCellAnchor>
  <xdr:oneCellAnchor>
    <xdr:from>
      <xdr:col>1</xdr:col>
      <xdr:colOff>47625</xdr:colOff>
      <xdr:row>324</xdr:row>
      <xdr:rowOff>66675</xdr:rowOff>
    </xdr:from>
    <xdr:ext cx="432000" cy="432000"/>
    <xdr:pic>
      <xdr:nvPicPr>
        <xdr:cNvPr id="34" name="Picture 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29413200"/>
          <a:ext cx="432000" cy="432000"/>
        </a:xfrm>
        <a:prstGeom prst="rect">
          <a:avLst/>
        </a:prstGeom>
      </xdr:spPr>
    </xdr:pic>
    <xdr:clientData/>
  </xdr:oneCellAnchor>
  <xdr:oneCellAnchor>
    <xdr:from>
      <xdr:col>1</xdr:col>
      <xdr:colOff>0</xdr:colOff>
      <xdr:row>321</xdr:row>
      <xdr:rowOff>161925</xdr:rowOff>
    </xdr:from>
    <xdr:ext cx="396000" cy="396000"/>
    <xdr:pic>
      <xdr:nvPicPr>
        <xdr:cNvPr id="35" name="Picture 34">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28794075"/>
          <a:ext cx="396000" cy="396000"/>
        </a:xfrm>
        <a:prstGeom prst="rect">
          <a:avLst/>
        </a:prstGeom>
      </xdr:spPr>
    </xdr:pic>
    <xdr:clientData/>
  </xdr:oneCellAnchor>
  <xdr:oneCellAnchor>
    <xdr:from>
      <xdr:col>1</xdr:col>
      <xdr:colOff>9525</xdr:colOff>
      <xdr:row>327</xdr:row>
      <xdr:rowOff>95250</xdr:rowOff>
    </xdr:from>
    <xdr:ext cx="396000" cy="396000"/>
    <xdr:pic>
      <xdr:nvPicPr>
        <xdr:cNvPr id="36" name="Picture 35">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30013275"/>
          <a:ext cx="396000" cy="396000"/>
        </a:xfrm>
        <a:prstGeom prst="rect">
          <a:avLst/>
        </a:prstGeom>
      </xdr:spPr>
    </xdr:pic>
    <xdr:clientData/>
  </xdr:oneCellAnchor>
  <xdr:oneCellAnchor>
    <xdr:from>
      <xdr:col>1</xdr:col>
      <xdr:colOff>9525</xdr:colOff>
      <xdr:row>355</xdr:row>
      <xdr:rowOff>123825</xdr:rowOff>
    </xdr:from>
    <xdr:ext cx="360000" cy="360000"/>
    <xdr:pic>
      <xdr:nvPicPr>
        <xdr:cNvPr id="37" name="Picture 36">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2900" y="36385500"/>
          <a:ext cx="360000" cy="360000"/>
        </a:xfrm>
        <a:prstGeom prst="rect">
          <a:avLst/>
        </a:prstGeom>
      </xdr:spPr>
    </xdr:pic>
    <xdr:clientData/>
  </xdr:oneCellAnchor>
  <xdr:oneCellAnchor>
    <xdr:from>
      <xdr:col>1</xdr:col>
      <xdr:colOff>9525</xdr:colOff>
      <xdr:row>379</xdr:row>
      <xdr:rowOff>95250</xdr:rowOff>
    </xdr:from>
    <xdr:ext cx="396000" cy="396000"/>
    <xdr:pic>
      <xdr:nvPicPr>
        <xdr:cNvPr id="39" name="Picture 38">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41900475"/>
          <a:ext cx="396000" cy="396000"/>
        </a:xfrm>
        <a:prstGeom prst="rect">
          <a:avLst/>
        </a:prstGeom>
      </xdr:spPr>
    </xdr:pic>
    <xdr:clientData/>
  </xdr:oneCellAnchor>
  <xdr:oneCellAnchor>
    <xdr:from>
      <xdr:col>1</xdr:col>
      <xdr:colOff>9525</xdr:colOff>
      <xdr:row>357</xdr:row>
      <xdr:rowOff>123825</xdr:rowOff>
    </xdr:from>
    <xdr:ext cx="360000" cy="360000"/>
    <xdr:pic>
      <xdr:nvPicPr>
        <xdr:cNvPr id="40" name="Picture 39">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2900" y="36766500"/>
          <a:ext cx="360000" cy="360000"/>
        </a:xfrm>
        <a:prstGeom prst="rect">
          <a:avLst/>
        </a:prstGeom>
      </xdr:spPr>
    </xdr:pic>
    <xdr:clientData/>
  </xdr:oneCellAnchor>
  <xdr:twoCellAnchor>
    <xdr:from>
      <xdr:col>8</xdr:col>
      <xdr:colOff>476250</xdr:colOff>
      <xdr:row>1</xdr:row>
      <xdr:rowOff>95250</xdr:rowOff>
    </xdr:from>
    <xdr:to>
      <xdr:col>8</xdr:col>
      <xdr:colOff>923925</xdr:colOff>
      <xdr:row>3</xdr:row>
      <xdr:rowOff>66675</xdr:rowOff>
    </xdr:to>
    <xdr:sp macro="" textlink="">
      <xdr:nvSpPr>
        <xdr:cNvPr id="5" name="Up Arrow 4">
          <a:hlinkClick xmlns:r="http://schemas.openxmlformats.org/officeDocument/2006/relationships" r:id="rId16" tooltip="Back to top"/>
          <a:extLst>
            <a:ext uri="{FF2B5EF4-FFF2-40B4-BE49-F238E27FC236}">
              <a16:creationId xmlns:a16="http://schemas.microsoft.com/office/drawing/2014/main" id="{00000000-0008-0000-1500-000005000000}"/>
            </a:ext>
          </a:extLst>
        </xdr:cNvPr>
        <xdr:cNvSpPr/>
      </xdr:nvSpPr>
      <xdr:spPr>
        <a:xfrm>
          <a:off x="989647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847725</xdr:colOff>
      <xdr:row>38</xdr:row>
      <xdr:rowOff>152400</xdr:rowOff>
    </xdr:from>
    <xdr:to>
      <xdr:col>6</xdr:col>
      <xdr:colOff>1352325</xdr:colOff>
      <xdr:row>40</xdr:row>
      <xdr:rowOff>59400</xdr:rowOff>
    </xdr:to>
    <xdr:sp macro="" textlink="">
      <xdr:nvSpPr>
        <xdr:cNvPr id="38" name="Rectangle à coins arrondis 2">
          <a:hlinkClick xmlns:r="http://schemas.openxmlformats.org/officeDocument/2006/relationships" r:id="rId17" tooltip="Prescriptive Path"/>
          <a:extLst>
            <a:ext uri="{FF2B5EF4-FFF2-40B4-BE49-F238E27FC236}">
              <a16:creationId xmlns:a16="http://schemas.microsoft.com/office/drawing/2014/main" id="{00000000-0008-0000-1500-000026000000}"/>
            </a:ext>
          </a:extLst>
        </xdr:cNvPr>
        <xdr:cNvSpPr>
          <a:spLocks noChangeArrowheads="1"/>
        </xdr:cNvSpPr>
      </xdr:nvSpPr>
      <xdr:spPr bwMode="auto">
        <a:xfrm>
          <a:off x="6162675" y="23745825"/>
          <a:ext cx="1800000" cy="307050"/>
        </a:xfrm>
        <a:prstGeom prst="roundRect">
          <a:avLst>
            <a:gd name="adj" fmla="val 16667"/>
          </a:avLst>
        </a:prstGeom>
        <a:gradFill flip="none" rotWithShape="1">
          <a:gsLst>
            <a:gs pos="0">
              <a:srgbClr val="BCBCBC"/>
            </a:gs>
            <a:gs pos="35000">
              <a:srgbClr val="BCBCBC"/>
            </a:gs>
            <a:gs pos="100000">
              <a:srgbClr val="EDEDED"/>
            </a:gs>
          </a:gsLst>
          <a:lin ang="16200000" scaled="1"/>
          <a:tileRect/>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219074</xdr:colOff>
      <xdr:row>38</xdr:row>
      <xdr:rowOff>152400</xdr:rowOff>
    </xdr:from>
    <xdr:to>
      <xdr:col>8</xdr:col>
      <xdr:colOff>628424</xdr:colOff>
      <xdr:row>40</xdr:row>
      <xdr:rowOff>59400</xdr:rowOff>
    </xdr:to>
    <xdr:sp macro="" textlink="">
      <xdr:nvSpPr>
        <xdr:cNvPr id="41" name="Rectangle à coins arrondis 2">
          <a:hlinkClick xmlns:r="http://schemas.openxmlformats.org/officeDocument/2006/relationships" r:id="rId18" tooltip="Performance Path"/>
          <a:extLst>
            <a:ext uri="{FF2B5EF4-FFF2-40B4-BE49-F238E27FC236}">
              <a16:creationId xmlns:a16="http://schemas.microsoft.com/office/drawing/2014/main" id="{00000000-0008-0000-1500-000029000000}"/>
            </a:ext>
          </a:extLst>
        </xdr:cNvPr>
        <xdr:cNvSpPr>
          <a:spLocks noChangeArrowheads="1"/>
        </xdr:cNvSpPr>
      </xdr:nvSpPr>
      <xdr:spPr bwMode="auto">
        <a:xfrm>
          <a:off x="8248649" y="23745825"/>
          <a:ext cx="1800000" cy="307050"/>
        </a:xfrm>
        <a:prstGeom prst="roundRect">
          <a:avLst>
            <a:gd name="adj" fmla="val 16667"/>
          </a:avLst>
        </a:prstGeom>
        <a:gradFill>
          <a:gsLst>
            <a:gs pos="3000">
              <a:srgbClr val="BCBCBC"/>
            </a:gs>
            <a:gs pos="35000">
              <a:srgbClr val="BCBCBC"/>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314325</xdr:colOff>
      <xdr:row>38</xdr:row>
      <xdr:rowOff>152400</xdr:rowOff>
    </xdr:from>
    <xdr:to>
      <xdr:col>5</xdr:col>
      <xdr:colOff>746325</xdr:colOff>
      <xdr:row>40</xdr:row>
      <xdr:rowOff>59400</xdr:rowOff>
    </xdr:to>
    <xdr:sp macro="" textlink="">
      <xdr:nvSpPr>
        <xdr:cNvPr id="42" name="Flèche droite 7">
          <a:extLst>
            <a:ext uri="{FF2B5EF4-FFF2-40B4-BE49-F238E27FC236}">
              <a16:creationId xmlns:a16="http://schemas.microsoft.com/office/drawing/2014/main" id="{00000000-0008-0000-1500-00002A000000}"/>
            </a:ext>
          </a:extLst>
        </xdr:cNvPr>
        <xdr:cNvSpPr/>
      </xdr:nvSpPr>
      <xdr:spPr>
        <a:xfrm>
          <a:off x="5629275" y="10448925"/>
          <a:ext cx="432000" cy="30705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323850</xdr:colOff>
      <xdr:row>44</xdr:row>
      <xdr:rowOff>95250</xdr:rowOff>
    </xdr:from>
    <xdr:to>
      <xdr:col>1</xdr:col>
      <xdr:colOff>386475</xdr:colOff>
      <xdr:row>46</xdr:row>
      <xdr:rowOff>110250</xdr:rowOff>
    </xdr:to>
    <xdr:pic>
      <xdr:nvPicPr>
        <xdr:cNvPr id="43" name="Picture 42">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4800" y="5229225"/>
          <a:ext cx="396000" cy="396000"/>
        </a:xfrm>
        <a:prstGeom prst="rect">
          <a:avLst/>
        </a:prstGeom>
      </xdr:spPr>
    </xdr:pic>
    <xdr:clientData/>
  </xdr:twoCellAnchor>
  <xdr:twoCellAnchor editAs="oneCell">
    <xdr:from>
      <xdr:col>1</xdr:col>
      <xdr:colOff>76200</xdr:colOff>
      <xdr:row>48</xdr:row>
      <xdr:rowOff>28575</xdr:rowOff>
    </xdr:from>
    <xdr:to>
      <xdr:col>1</xdr:col>
      <xdr:colOff>616200</xdr:colOff>
      <xdr:row>50</xdr:row>
      <xdr:rowOff>187575</xdr:rowOff>
    </xdr:to>
    <xdr:pic>
      <xdr:nvPicPr>
        <xdr:cNvPr id="44" name="Picture 43">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25288875"/>
          <a:ext cx="540000" cy="540000"/>
        </a:xfrm>
        <a:prstGeom prst="rect">
          <a:avLst/>
        </a:prstGeom>
      </xdr:spPr>
    </xdr:pic>
    <xdr:clientData/>
  </xdr:twoCellAnchor>
  <xdr:oneCellAnchor>
    <xdr:from>
      <xdr:col>1</xdr:col>
      <xdr:colOff>38100</xdr:colOff>
      <xdr:row>55</xdr:row>
      <xdr:rowOff>104775</xdr:rowOff>
    </xdr:from>
    <xdr:ext cx="360000" cy="360000"/>
    <xdr:pic>
      <xdr:nvPicPr>
        <xdr:cNvPr id="45" name="Picture 44">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2900" y="7048500"/>
          <a:ext cx="360000" cy="360000"/>
        </a:xfrm>
        <a:prstGeom prst="rect">
          <a:avLst/>
        </a:prstGeom>
      </xdr:spPr>
    </xdr:pic>
    <xdr:clientData/>
  </xdr:oneCellAnchor>
  <xdr:oneCellAnchor>
    <xdr:from>
      <xdr:col>1</xdr:col>
      <xdr:colOff>9525</xdr:colOff>
      <xdr:row>113</xdr:row>
      <xdr:rowOff>114300</xdr:rowOff>
    </xdr:from>
    <xdr:ext cx="396000" cy="396000"/>
    <xdr:pic>
      <xdr:nvPicPr>
        <xdr:cNvPr id="47" name="Picture 46">
          <a:extLst>
            <a:ext uri="{FF2B5EF4-FFF2-40B4-BE49-F238E27FC236}">
              <a16:creationId xmlns:a16="http://schemas.microsoft.com/office/drawing/2014/main" id="{00000000-0008-0000-1500-00002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42900" y="26298525"/>
          <a:ext cx="396000" cy="396000"/>
        </a:xfrm>
        <a:prstGeom prst="rect">
          <a:avLst/>
        </a:prstGeom>
      </xdr:spPr>
    </xdr:pic>
    <xdr:clientData/>
  </xdr:oneCellAnchor>
  <xdr:oneCellAnchor>
    <xdr:from>
      <xdr:col>1</xdr:col>
      <xdr:colOff>28575</xdr:colOff>
      <xdr:row>111</xdr:row>
      <xdr:rowOff>238125</xdr:rowOff>
    </xdr:from>
    <xdr:ext cx="360000" cy="360000"/>
    <xdr:pic>
      <xdr:nvPicPr>
        <xdr:cNvPr id="48" name="Picture 47">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61950" y="25869900"/>
          <a:ext cx="360000" cy="3600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333373</xdr:colOff>
      <xdr:row>1</xdr:row>
      <xdr:rowOff>104775</xdr:rowOff>
    </xdr:from>
    <xdr:to>
      <xdr:col>2</xdr:col>
      <xdr:colOff>912223</xdr:colOff>
      <xdr:row>3</xdr:row>
      <xdr:rowOff>47775</xdr:rowOff>
    </xdr:to>
    <xdr:sp macro="" textlink="">
      <xdr:nvSpPr>
        <xdr:cNvPr id="11" name="Rectangle à coins arrondis 2">
          <a:hlinkClick xmlns:r="http://schemas.openxmlformats.org/officeDocument/2006/relationships" r:id="rId1" tooltip="Back to Water"/>
          <a:extLst>
            <a:ext uri="{FF2B5EF4-FFF2-40B4-BE49-F238E27FC236}">
              <a16:creationId xmlns:a16="http://schemas.microsoft.com/office/drawing/2014/main" id="{00000000-0008-0000-1600-00000B000000}"/>
            </a:ext>
          </a:extLst>
        </xdr:cNvPr>
        <xdr:cNvSpPr>
          <a:spLocks noChangeArrowheads="1"/>
        </xdr:cNvSpPr>
      </xdr:nvSpPr>
      <xdr:spPr bwMode="auto">
        <a:xfrm>
          <a:off x="333373" y="400050"/>
          <a:ext cx="216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1219200</xdr:colOff>
      <xdr:row>1</xdr:row>
      <xdr:rowOff>104775</xdr:rowOff>
    </xdr:from>
    <xdr:to>
      <xdr:col>5</xdr:col>
      <xdr:colOff>121650</xdr:colOff>
      <xdr:row>3</xdr:row>
      <xdr:rowOff>47775</xdr:rowOff>
    </xdr:to>
    <xdr:sp macro="" textlink="">
      <xdr:nvSpPr>
        <xdr:cNvPr id="12" name="Rectangle à coins arrondis 11">
          <a:hlinkClick xmlns:r="http://schemas.openxmlformats.org/officeDocument/2006/relationships" r:id="rId2" tooltip="Scorecard"/>
          <a:extLst>
            <a:ext uri="{FF2B5EF4-FFF2-40B4-BE49-F238E27FC236}">
              <a16:creationId xmlns:a16="http://schemas.microsoft.com/office/drawing/2014/main" id="{00000000-0008-0000-1600-00000C000000}"/>
            </a:ext>
          </a:extLst>
        </xdr:cNvPr>
        <xdr:cNvSpPr>
          <a:spLocks noChangeArrowheads="1"/>
        </xdr:cNvSpPr>
      </xdr:nvSpPr>
      <xdr:spPr bwMode="auto">
        <a:xfrm>
          <a:off x="280035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19050</xdr:colOff>
      <xdr:row>23</xdr:row>
      <xdr:rowOff>57150</xdr:rowOff>
    </xdr:from>
    <xdr:ext cx="396000" cy="396000"/>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4962525"/>
          <a:ext cx="396000" cy="396000"/>
        </a:xfrm>
        <a:prstGeom prst="rect">
          <a:avLst/>
        </a:prstGeom>
      </xdr:spPr>
    </xdr:pic>
    <xdr:clientData/>
  </xdr:oneCellAnchor>
  <xdr:twoCellAnchor editAs="oneCell">
    <xdr:from>
      <xdr:col>1</xdr:col>
      <xdr:colOff>57150</xdr:colOff>
      <xdr:row>16</xdr:row>
      <xdr:rowOff>123825</xdr:rowOff>
    </xdr:from>
    <xdr:to>
      <xdr:col>1</xdr:col>
      <xdr:colOff>597150</xdr:colOff>
      <xdr:row>19</xdr:row>
      <xdr:rowOff>92325</xdr:rowOff>
    </xdr:to>
    <xdr:pic>
      <xdr:nvPicPr>
        <xdr:cNvPr id="17" name="Picture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3562350"/>
          <a:ext cx="540000" cy="540000"/>
        </a:xfrm>
        <a:prstGeom prst="rect">
          <a:avLst/>
        </a:prstGeom>
      </xdr:spPr>
    </xdr:pic>
    <xdr:clientData/>
  </xdr:twoCellAnchor>
  <xdr:twoCellAnchor>
    <xdr:from>
      <xdr:col>7</xdr:col>
      <xdr:colOff>1428750</xdr:colOff>
      <xdr:row>1</xdr:row>
      <xdr:rowOff>95250</xdr:rowOff>
    </xdr:from>
    <xdr:to>
      <xdr:col>8</xdr:col>
      <xdr:colOff>361950</xdr:colOff>
      <xdr:row>3</xdr:row>
      <xdr:rowOff>66675</xdr:rowOff>
    </xdr:to>
    <xdr:sp macro="" textlink="">
      <xdr:nvSpPr>
        <xdr:cNvPr id="14" name="Up Arrow 13">
          <a:hlinkClick xmlns:r="http://schemas.openxmlformats.org/officeDocument/2006/relationships" r:id="rId5" tooltip="Back to top"/>
          <a:extLst>
            <a:ext uri="{FF2B5EF4-FFF2-40B4-BE49-F238E27FC236}">
              <a16:creationId xmlns:a16="http://schemas.microsoft.com/office/drawing/2014/main" id="{00000000-0008-0000-1600-00000E000000}"/>
            </a:ext>
          </a:extLst>
        </xdr:cNvPr>
        <xdr:cNvSpPr/>
      </xdr:nvSpPr>
      <xdr:spPr>
        <a:xfrm>
          <a:off x="9105900"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137583</xdr:colOff>
      <xdr:row>0</xdr:row>
      <xdr:rowOff>84665</xdr:rowOff>
    </xdr:from>
    <xdr:to>
      <xdr:col>11</xdr:col>
      <xdr:colOff>173608</xdr:colOff>
      <xdr:row>3</xdr:row>
      <xdr:rowOff>63915</xdr:rowOff>
    </xdr:to>
    <xdr:pic>
      <xdr:nvPicPr>
        <xdr:cNvPr id="4" name="Image 2" descr="Materials.png">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535583" y="84665"/>
          <a:ext cx="882692" cy="900000"/>
        </a:xfrm>
        <a:prstGeom prst="rect">
          <a:avLst/>
        </a:prstGeom>
        <a:noFill/>
        <a:ln w="9525">
          <a:noFill/>
          <a:miter lim="800000"/>
          <a:headEnd/>
          <a:tailEnd/>
        </a:ln>
      </xdr:spPr>
    </xdr:pic>
    <xdr:clientData/>
  </xdr:twoCellAnchor>
  <xdr:twoCellAnchor>
    <xdr:from>
      <xdr:col>1</xdr:col>
      <xdr:colOff>10581</xdr:colOff>
      <xdr:row>12</xdr:row>
      <xdr:rowOff>10583</xdr:rowOff>
    </xdr:from>
    <xdr:to>
      <xdr:col>1</xdr:col>
      <xdr:colOff>1990581</xdr:colOff>
      <xdr:row>14</xdr:row>
      <xdr:rowOff>4415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1700-000005000000}"/>
            </a:ext>
          </a:extLst>
        </xdr:cNvPr>
        <xdr:cNvSpPr>
          <a:spLocks noChangeArrowheads="1"/>
        </xdr:cNvSpPr>
      </xdr:nvSpPr>
      <xdr:spPr bwMode="auto">
        <a:xfrm>
          <a:off x="391581" y="3153833"/>
          <a:ext cx="1980000" cy="3959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342901</xdr:colOff>
      <xdr:row>0</xdr:row>
      <xdr:rowOff>38100</xdr:rowOff>
    </xdr:from>
    <xdr:to>
      <xdr:col>16</xdr:col>
      <xdr:colOff>383701</xdr:colOff>
      <xdr:row>0</xdr:row>
      <xdr:rowOff>326100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800-000002000000}"/>
            </a:ext>
          </a:extLst>
        </xdr:cNvPr>
        <xdr:cNvSpPr>
          <a:spLocks noChangeArrowheads="1"/>
        </xdr:cNvSpPr>
      </xdr:nvSpPr>
      <xdr:spPr bwMode="auto">
        <a:xfrm>
          <a:off x="87153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5F4970"/>
              </a:solidFill>
              <a:latin typeface="Arial" pitchFamily="34" charset="0"/>
              <a:cs typeface="Arial" pitchFamily="34" charset="0"/>
            </a:rPr>
            <a:t>Scorecard</a:t>
          </a:r>
        </a:p>
      </xdr:txBody>
    </xdr:sp>
    <xdr:clientData/>
  </xdr:twoCellAnchor>
  <xdr:twoCellAnchor>
    <xdr:from>
      <xdr:col>11</xdr:col>
      <xdr:colOff>552449</xdr:colOff>
      <xdr:row>0</xdr:row>
      <xdr:rowOff>38100</xdr:rowOff>
    </xdr:from>
    <xdr:to>
      <xdr:col>14</xdr:col>
      <xdr:colOff>163649</xdr:colOff>
      <xdr:row>0</xdr:row>
      <xdr:rowOff>326100</xdr:rowOff>
    </xdr:to>
    <xdr:sp macro="" textlink="">
      <xdr:nvSpPr>
        <xdr:cNvPr id="3" name="Rectangle à coins arrondis 2">
          <a:hlinkClick xmlns:r="http://schemas.openxmlformats.org/officeDocument/2006/relationships" r:id="rId2" tooltip="M&amp;R Category"/>
          <a:extLst>
            <a:ext uri="{FF2B5EF4-FFF2-40B4-BE49-F238E27FC236}">
              <a16:creationId xmlns:a16="http://schemas.microsoft.com/office/drawing/2014/main" id="{00000000-0008-0000-1800-000003000000}"/>
            </a:ext>
          </a:extLst>
        </xdr:cNvPr>
        <xdr:cNvSpPr>
          <a:spLocks noChangeArrowheads="1"/>
        </xdr:cNvSpPr>
      </xdr:nvSpPr>
      <xdr:spPr bwMode="auto">
        <a:xfrm>
          <a:off x="7096124" y="38100"/>
          <a:ext cx="144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5F4970"/>
              </a:solidFill>
              <a:latin typeface="Arial" panose="020B0604020202020204" pitchFamily="34" charset="0"/>
              <a:cs typeface="Arial" panose="020B0604020202020204" pitchFamily="34" charset="0"/>
            </a:rPr>
            <a:t>M&amp;R Category</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1257300</xdr:colOff>
      <xdr:row>1</xdr:row>
      <xdr:rowOff>133350</xdr:rowOff>
    </xdr:from>
    <xdr:to>
      <xdr:col>3</xdr:col>
      <xdr:colOff>1979025</xdr:colOff>
      <xdr:row>3</xdr:row>
      <xdr:rowOff>76350</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1900-000003000000}"/>
            </a:ext>
          </a:extLst>
        </xdr:cNvPr>
        <xdr:cNvSpPr>
          <a:spLocks noChangeArrowheads="1"/>
        </xdr:cNvSpPr>
      </xdr:nvSpPr>
      <xdr:spPr bwMode="auto">
        <a:xfrm>
          <a:off x="3114675"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285750</xdr:colOff>
      <xdr:row>1</xdr:row>
      <xdr:rowOff>133350</xdr:rowOff>
    </xdr:from>
    <xdr:to>
      <xdr:col>2</xdr:col>
      <xdr:colOff>866775</xdr:colOff>
      <xdr:row>3</xdr:row>
      <xdr:rowOff>76350</xdr:rowOff>
    </xdr:to>
    <xdr:sp macro="" textlink="">
      <xdr:nvSpPr>
        <xdr:cNvPr id="4" name="Rectangle à coins arrondis 3">
          <a:hlinkClick xmlns:r="http://schemas.openxmlformats.org/officeDocument/2006/relationships" r:id="rId2" tooltip="Back to Materials &amp; Resources"/>
          <a:extLst>
            <a:ext uri="{FF2B5EF4-FFF2-40B4-BE49-F238E27FC236}">
              <a16:creationId xmlns:a16="http://schemas.microsoft.com/office/drawing/2014/main" id="{00000000-0008-0000-1900-000004000000}"/>
            </a:ext>
          </a:extLst>
        </xdr:cNvPr>
        <xdr:cNvSpPr>
          <a:spLocks noChangeArrowheads="1"/>
        </xdr:cNvSpPr>
      </xdr:nvSpPr>
      <xdr:spPr bwMode="auto">
        <a:xfrm>
          <a:off x="285750" y="457200"/>
          <a:ext cx="24384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 &amp; Resources</a:t>
          </a:r>
        </a:p>
      </xdr:txBody>
    </xdr:sp>
    <xdr:clientData/>
  </xdr:twoCellAnchor>
  <xdr:twoCellAnchor editAs="oneCell">
    <xdr:from>
      <xdr:col>0</xdr:col>
      <xdr:colOff>352425</xdr:colOff>
      <xdr:row>14</xdr:row>
      <xdr:rowOff>76200</xdr:rowOff>
    </xdr:from>
    <xdr:to>
      <xdr:col>1</xdr:col>
      <xdr:colOff>432000</xdr:colOff>
      <xdr:row>16</xdr:row>
      <xdr:rowOff>127200</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3409950"/>
          <a:ext cx="432000" cy="432000"/>
        </a:xfrm>
        <a:prstGeom prst="rect">
          <a:avLst/>
        </a:prstGeom>
      </xdr:spPr>
    </xdr:pic>
    <xdr:clientData/>
  </xdr:twoCellAnchor>
  <xdr:twoCellAnchor editAs="oneCell">
    <xdr:from>
      <xdr:col>1</xdr:col>
      <xdr:colOff>28575</xdr:colOff>
      <xdr:row>51</xdr:row>
      <xdr:rowOff>57150</xdr:rowOff>
    </xdr:from>
    <xdr:to>
      <xdr:col>1</xdr:col>
      <xdr:colOff>496575</xdr:colOff>
      <xdr:row>53</xdr:row>
      <xdr:rowOff>144150</xdr:rowOff>
    </xdr:to>
    <xdr:pic>
      <xdr:nvPicPr>
        <xdr:cNvPr id="12" name="Picture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9753600"/>
          <a:ext cx="468000" cy="468000"/>
        </a:xfrm>
        <a:prstGeom prst="rect">
          <a:avLst/>
        </a:prstGeom>
      </xdr:spPr>
    </xdr:pic>
    <xdr:clientData/>
  </xdr:twoCellAnchor>
  <xdr:twoCellAnchor editAs="oneCell">
    <xdr:from>
      <xdr:col>1</xdr:col>
      <xdr:colOff>0</xdr:colOff>
      <xdr:row>17</xdr:row>
      <xdr:rowOff>0</xdr:rowOff>
    </xdr:from>
    <xdr:to>
      <xdr:col>1</xdr:col>
      <xdr:colOff>432000</xdr:colOff>
      <xdr:row>19</xdr:row>
      <xdr:rowOff>51000</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905250"/>
          <a:ext cx="432000" cy="432000"/>
        </a:xfrm>
        <a:prstGeom prst="rect">
          <a:avLst/>
        </a:prstGeom>
      </xdr:spPr>
    </xdr:pic>
    <xdr:clientData/>
  </xdr:twoCellAnchor>
  <xdr:twoCellAnchor editAs="oneCell">
    <xdr:from>
      <xdr:col>1</xdr:col>
      <xdr:colOff>0</xdr:colOff>
      <xdr:row>26</xdr:row>
      <xdr:rowOff>9525</xdr:rowOff>
    </xdr:from>
    <xdr:to>
      <xdr:col>1</xdr:col>
      <xdr:colOff>432000</xdr:colOff>
      <xdr:row>28</xdr:row>
      <xdr:rowOff>60525</xdr:rowOff>
    </xdr:to>
    <xdr:pic>
      <xdr:nvPicPr>
        <xdr:cNvPr id="11" name="Picture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5248275"/>
          <a:ext cx="432000" cy="432000"/>
        </a:xfrm>
        <a:prstGeom prst="rect">
          <a:avLst/>
        </a:prstGeom>
      </xdr:spPr>
    </xdr:pic>
    <xdr:clientData/>
  </xdr:twoCellAnchor>
  <xdr:twoCellAnchor>
    <xdr:from>
      <xdr:col>8</xdr:col>
      <xdr:colOff>133350</xdr:colOff>
      <xdr:row>1</xdr:row>
      <xdr:rowOff>114300</xdr:rowOff>
    </xdr:from>
    <xdr:to>
      <xdr:col>8</xdr:col>
      <xdr:colOff>581025</xdr:colOff>
      <xdr:row>3</xdr:row>
      <xdr:rowOff>85725</xdr:rowOff>
    </xdr:to>
    <xdr:sp macro="" textlink="">
      <xdr:nvSpPr>
        <xdr:cNvPr id="13" name="Up Arrow 12">
          <a:hlinkClick xmlns:r="http://schemas.openxmlformats.org/officeDocument/2006/relationships" r:id="rId5" tooltip="Back to top"/>
          <a:extLst>
            <a:ext uri="{FF2B5EF4-FFF2-40B4-BE49-F238E27FC236}">
              <a16:creationId xmlns:a16="http://schemas.microsoft.com/office/drawing/2014/main" id="{00000000-0008-0000-1900-00000D000000}"/>
            </a:ext>
          </a:extLst>
        </xdr:cNvPr>
        <xdr:cNvSpPr/>
      </xdr:nvSpPr>
      <xdr:spPr>
        <a:xfrm>
          <a:off x="9744075" y="438150"/>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1238250</xdr:colOff>
      <xdr:row>1</xdr:row>
      <xdr:rowOff>142875</xdr:rowOff>
    </xdr:from>
    <xdr:to>
      <xdr:col>7</xdr:col>
      <xdr:colOff>982650</xdr:colOff>
      <xdr:row>3</xdr:row>
      <xdr:rowOff>49875</xdr:rowOff>
    </xdr:to>
    <xdr:sp macro="" textlink="">
      <xdr:nvSpPr>
        <xdr:cNvPr id="14" name="Rectangle à coins arrondis 2">
          <a:hlinkClick xmlns:r="http://schemas.openxmlformats.org/officeDocument/2006/relationships" r:id="rId6" tooltip="Glossary of the credit"/>
          <a:extLst>
            <a:ext uri="{FF2B5EF4-FFF2-40B4-BE49-F238E27FC236}">
              <a16:creationId xmlns:a16="http://schemas.microsoft.com/office/drawing/2014/main" id="{00000000-0008-0000-1900-00000E000000}"/>
            </a:ext>
          </a:extLst>
        </xdr:cNvPr>
        <xdr:cNvSpPr>
          <a:spLocks noChangeArrowheads="1"/>
        </xdr:cNvSpPr>
      </xdr:nvSpPr>
      <xdr:spPr bwMode="auto">
        <a:xfrm>
          <a:off x="8763000" y="466725"/>
          <a:ext cx="117315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editAs="oneCell">
    <xdr:from>
      <xdr:col>1</xdr:col>
      <xdr:colOff>57150</xdr:colOff>
      <xdr:row>32</xdr:row>
      <xdr:rowOff>133350</xdr:rowOff>
    </xdr:from>
    <xdr:to>
      <xdr:col>1</xdr:col>
      <xdr:colOff>561150</xdr:colOff>
      <xdr:row>35</xdr:row>
      <xdr:rowOff>65850</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475" y="6800850"/>
          <a:ext cx="504000" cy="504000"/>
        </a:xfrm>
        <a:prstGeom prst="rect">
          <a:avLst/>
        </a:prstGeom>
      </xdr:spPr>
    </xdr:pic>
    <xdr:clientData/>
  </xdr:twoCellAnchor>
  <xdr:oneCellAnchor>
    <xdr:from>
      <xdr:col>1</xdr:col>
      <xdr:colOff>57150</xdr:colOff>
      <xdr:row>41</xdr:row>
      <xdr:rowOff>133350</xdr:rowOff>
    </xdr:from>
    <xdr:ext cx="504000" cy="504000"/>
    <xdr:pic>
      <xdr:nvPicPr>
        <xdr:cNvPr id="17" name="Picture 16">
          <a:extLst>
            <a:ext uri="{FF2B5EF4-FFF2-40B4-BE49-F238E27FC236}">
              <a16:creationId xmlns:a16="http://schemas.microsoft.com/office/drawing/2014/main" id="{2B49221A-A637-443C-8117-EE2D4DB509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475" y="6800850"/>
          <a:ext cx="504000" cy="504000"/>
        </a:xfrm>
        <a:prstGeom prst="rect">
          <a:avLst/>
        </a:prstGeom>
      </xdr:spPr>
    </xdr:pic>
    <xdr:clientData/>
  </xdr:oneCellAnchor>
  <xdr:twoCellAnchor editAs="oneCell">
    <xdr:from>
      <xdr:col>1</xdr:col>
      <xdr:colOff>28575</xdr:colOff>
      <xdr:row>65</xdr:row>
      <xdr:rowOff>142875</xdr:rowOff>
    </xdr:from>
    <xdr:to>
      <xdr:col>1</xdr:col>
      <xdr:colOff>460575</xdr:colOff>
      <xdr:row>67</xdr:row>
      <xdr:rowOff>60525</xdr:rowOff>
    </xdr:to>
    <xdr:pic>
      <xdr:nvPicPr>
        <xdr:cNvPr id="18" name="Picture 17">
          <a:extLst>
            <a:ext uri="{FF2B5EF4-FFF2-40B4-BE49-F238E27FC236}">
              <a16:creationId xmlns:a16="http://schemas.microsoft.com/office/drawing/2014/main" id="{6F4E222B-6E4E-43F4-925E-A4DAFB5E3C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6700" y="14325600"/>
          <a:ext cx="432000" cy="432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1266825</xdr:colOff>
      <xdr:row>1</xdr:row>
      <xdr:rowOff>133350</xdr:rowOff>
    </xdr:from>
    <xdr:to>
      <xdr:col>3</xdr:col>
      <xdr:colOff>1988550</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A00-000002000000}"/>
            </a:ext>
          </a:extLst>
        </xdr:cNvPr>
        <xdr:cNvSpPr>
          <a:spLocks noChangeArrowheads="1"/>
        </xdr:cNvSpPr>
      </xdr:nvSpPr>
      <xdr:spPr bwMode="auto">
        <a:xfrm>
          <a:off x="31242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47625</xdr:colOff>
      <xdr:row>56</xdr:row>
      <xdr:rowOff>219075</xdr:rowOff>
    </xdr:from>
    <xdr:to>
      <xdr:col>1</xdr:col>
      <xdr:colOff>479625</xdr:colOff>
      <xdr:row>58</xdr:row>
      <xdr:rowOff>51000</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12706350"/>
          <a:ext cx="432000" cy="432000"/>
        </a:xfrm>
        <a:prstGeom prst="rect">
          <a:avLst/>
        </a:prstGeom>
      </xdr:spPr>
    </xdr:pic>
    <xdr:clientData/>
  </xdr:twoCellAnchor>
  <xdr:twoCellAnchor editAs="oneCell">
    <xdr:from>
      <xdr:col>1</xdr:col>
      <xdr:colOff>9525</xdr:colOff>
      <xdr:row>43</xdr:row>
      <xdr:rowOff>57150</xdr:rowOff>
    </xdr:from>
    <xdr:to>
      <xdr:col>1</xdr:col>
      <xdr:colOff>477525</xdr:colOff>
      <xdr:row>45</xdr:row>
      <xdr:rowOff>144150</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8734425"/>
          <a:ext cx="468000" cy="468000"/>
        </a:xfrm>
        <a:prstGeom prst="rect">
          <a:avLst/>
        </a:prstGeom>
      </xdr:spPr>
    </xdr:pic>
    <xdr:clientData/>
  </xdr:twoCellAnchor>
  <xdr:twoCellAnchor editAs="oneCell">
    <xdr:from>
      <xdr:col>0</xdr:col>
      <xdr:colOff>304800</xdr:colOff>
      <xdr:row>14</xdr:row>
      <xdr:rowOff>85725</xdr:rowOff>
    </xdr:from>
    <xdr:to>
      <xdr:col>1</xdr:col>
      <xdr:colOff>432000</xdr:colOff>
      <xdr:row>16</xdr:row>
      <xdr:rowOff>136725</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3429000"/>
          <a:ext cx="432000" cy="432000"/>
        </a:xfrm>
        <a:prstGeom prst="rect">
          <a:avLst/>
        </a:prstGeom>
      </xdr:spPr>
    </xdr:pic>
    <xdr:clientData/>
  </xdr:twoCellAnchor>
  <xdr:twoCellAnchor editAs="oneCell">
    <xdr:from>
      <xdr:col>1</xdr:col>
      <xdr:colOff>0</xdr:colOff>
      <xdr:row>17</xdr:row>
      <xdr:rowOff>0</xdr:rowOff>
    </xdr:from>
    <xdr:to>
      <xdr:col>1</xdr:col>
      <xdr:colOff>432000</xdr:colOff>
      <xdr:row>19</xdr:row>
      <xdr:rowOff>89100</xdr:rowOff>
    </xdr:to>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848100"/>
          <a:ext cx="432000" cy="432000"/>
        </a:xfrm>
        <a:prstGeom prst="rect">
          <a:avLst/>
        </a:prstGeom>
      </xdr:spPr>
    </xdr:pic>
    <xdr:clientData/>
  </xdr:twoCellAnchor>
  <xdr:twoCellAnchor>
    <xdr:from>
      <xdr:col>7</xdr:col>
      <xdr:colOff>1028700</xdr:colOff>
      <xdr:row>1</xdr:row>
      <xdr:rowOff>123825</xdr:rowOff>
    </xdr:from>
    <xdr:to>
      <xdr:col>8</xdr:col>
      <xdr:colOff>295275</xdr:colOff>
      <xdr:row>3</xdr:row>
      <xdr:rowOff>95250</xdr:rowOff>
    </xdr:to>
    <xdr:sp macro="" textlink="">
      <xdr:nvSpPr>
        <xdr:cNvPr id="13" name="Up Arrow 12">
          <a:hlinkClick xmlns:r="http://schemas.openxmlformats.org/officeDocument/2006/relationships" r:id="rId5" tooltip="Back to top"/>
          <a:extLst>
            <a:ext uri="{FF2B5EF4-FFF2-40B4-BE49-F238E27FC236}">
              <a16:creationId xmlns:a16="http://schemas.microsoft.com/office/drawing/2014/main" id="{00000000-0008-0000-1A00-00000D000000}"/>
            </a:ext>
          </a:extLst>
        </xdr:cNvPr>
        <xdr:cNvSpPr/>
      </xdr:nvSpPr>
      <xdr:spPr>
        <a:xfrm>
          <a:off x="9858375" y="4476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1009650</xdr:colOff>
      <xdr:row>1</xdr:row>
      <xdr:rowOff>152400</xdr:rowOff>
    </xdr:from>
    <xdr:to>
      <xdr:col>7</xdr:col>
      <xdr:colOff>792150</xdr:colOff>
      <xdr:row>3</xdr:row>
      <xdr:rowOff>59400</xdr:rowOff>
    </xdr:to>
    <xdr:sp macro="" textlink="">
      <xdr:nvSpPr>
        <xdr:cNvPr id="14" name="Rectangle à coins arrondis 2">
          <a:hlinkClick xmlns:r="http://schemas.openxmlformats.org/officeDocument/2006/relationships" r:id="rId6" tooltip="Glossary of the credit"/>
          <a:extLst>
            <a:ext uri="{FF2B5EF4-FFF2-40B4-BE49-F238E27FC236}">
              <a16:creationId xmlns:a16="http://schemas.microsoft.com/office/drawing/2014/main" id="{00000000-0008-0000-1A00-00000E000000}"/>
            </a:ext>
          </a:extLst>
        </xdr:cNvPr>
        <xdr:cNvSpPr>
          <a:spLocks noChangeArrowheads="1"/>
        </xdr:cNvSpPr>
      </xdr:nvSpPr>
      <xdr:spPr bwMode="auto">
        <a:xfrm>
          <a:off x="8753475" y="476250"/>
          <a:ext cx="12684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0</xdr:col>
      <xdr:colOff>304800</xdr:colOff>
      <xdr:row>1</xdr:row>
      <xdr:rowOff>133350</xdr:rowOff>
    </xdr:from>
    <xdr:to>
      <xdr:col>2</xdr:col>
      <xdr:colOff>885825</xdr:colOff>
      <xdr:row>3</xdr:row>
      <xdr:rowOff>76350</xdr:rowOff>
    </xdr:to>
    <xdr:sp macro="" textlink="">
      <xdr:nvSpPr>
        <xdr:cNvPr id="12" name="Rectangle à coins arrondis 3">
          <a:hlinkClick xmlns:r="http://schemas.openxmlformats.org/officeDocument/2006/relationships" r:id="rId7" tooltip="Back to Materials &amp; Resources"/>
          <a:extLst>
            <a:ext uri="{FF2B5EF4-FFF2-40B4-BE49-F238E27FC236}">
              <a16:creationId xmlns:a16="http://schemas.microsoft.com/office/drawing/2014/main" id="{B1ECBFEE-3AB4-4BCE-B200-5DDD8BE3CE50}"/>
            </a:ext>
          </a:extLst>
        </xdr:cNvPr>
        <xdr:cNvSpPr>
          <a:spLocks noChangeArrowheads="1"/>
        </xdr:cNvSpPr>
      </xdr:nvSpPr>
      <xdr:spPr bwMode="auto">
        <a:xfrm>
          <a:off x="304800" y="457200"/>
          <a:ext cx="24384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 &amp; Resources</a:t>
          </a:r>
        </a:p>
      </xdr:txBody>
    </xdr:sp>
    <xdr:clientData/>
  </xdr:twoCellAnchor>
  <xdr:twoCellAnchor editAs="oneCell">
    <xdr:from>
      <xdr:col>1</xdr:col>
      <xdr:colOff>57150</xdr:colOff>
      <xdr:row>26</xdr:row>
      <xdr:rowOff>133350</xdr:rowOff>
    </xdr:from>
    <xdr:to>
      <xdr:col>1</xdr:col>
      <xdr:colOff>561150</xdr:colOff>
      <xdr:row>29</xdr:row>
      <xdr:rowOff>65850</xdr:rowOff>
    </xdr:to>
    <xdr:pic>
      <xdr:nvPicPr>
        <xdr:cNvPr id="15" name="Picture 14">
          <a:extLst>
            <a:ext uri="{FF2B5EF4-FFF2-40B4-BE49-F238E27FC236}">
              <a16:creationId xmlns:a16="http://schemas.microsoft.com/office/drawing/2014/main" id="{DC469AD7-F9DF-4060-AFE0-5F686945E6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5" y="6800850"/>
          <a:ext cx="504000" cy="504000"/>
        </a:xfrm>
        <a:prstGeom prst="rect">
          <a:avLst/>
        </a:prstGeom>
      </xdr:spPr>
    </xdr:pic>
    <xdr:clientData/>
  </xdr:twoCellAnchor>
  <xdr:oneCellAnchor>
    <xdr:from>
      <xdr:col>1</xdr:col>
      <xdr:colOff>57150</xdr:colOff>
      <xdr:row>34</xdr:row>
      <xdr:rowOff>133350</xdr:rowOff>
    </xdr:from>
    <xdr:ext cx="504000" cy="504000"/>
    <xdr:pic>
      <xdr:nvPicPr>
        <xdr:cNvPr id="16" name="Picture 15">
          <a:extLst>
            <a:ext uri="{FF2B5EF4-FFF2-40B4-BE49-F238E27FC236}">
              <a16:creationId xmlns:a16="http://schemas.microsoft.com/office/drawing/2014/main" id="{22A63E3C-B930-44E2-B14E-EF1FBC9903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5" y="8553450"/>
          <a:ext cx="504000" cy="504000"/>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6</xdr:col>
      <xdr:colOff>19049</xdr:colOff>
      <xdr:row>1</xdr:row>
      <xdr:rowOff>152400</xdr:rowOff>
    </xdr:from>
    <xdr:to>
      <xdr:col>6</xdr:col>
      <xdr:colOff>1135049</xdr:colOff>
      <xdr:row>3</xdr:row>
      <xdr:rowOff>59400</xdr:rowOff>
    </xdr:to>
    <xdr:sp macro="" textlink="">
      <xdr:nvSpPr>
        <xdr:cNvPr id="8" name="Rectangle à coins arrondis 2">
          <a:hlinkClick xmlns:r="http://schemas.openxmlformats.org/officeDocument/2006/relationships" r:id="rId1" tooltip="Strategy A"/>
          <a:extLst>
            <a:ext uri="{FF2B5EF4-FFF2-40B4-BE49-F238E27FC236}">
              <a16:creationId xmlns:a16="http://schemas.microsoft.com/office/drawing/2014/main" id="{00000000-0008-0000-1D00-000008000000}"/>
            </a:ext>
          </a:extLst>
        </xdr:cNvPr>
        <xdr:cNvSpPr>
          <a:spLocks noChangeArrowheads="1"/>
        </xdr:cNvSpPr>
      </xdr:nvSpPr>
      <xdr:spPr bwMode="auto">
        <a:xfrm>
          <a:off x="6543674" y="476250"/>
          <a:ext cx="1116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1276348</xdr:colOff>
      <xdr:row>1</xdr:row>
      <xdr:rowOff>152400</xdr:rowOff>
    </xdr:from>
    <xdr:to>
      <xdr:col>7</xdr:col>
      <xdr:colOff>1096948</xdr:colOff>
      <xdr:row>3</xdr:row>
      <xdr:rowOff>59400</xdr:rowOff>
    </xdr:to>
    <xdr:sp macro="" textlink="">
      <xdr:nvSpPr>
        <xdr:cNvPr id="9" name="Rectangle à coins arrondis 2">
          <a:hlinkClick xmlns:r="http://schemas.openxmlformats.org/officeDocument/2006/relationships" r:id="rId2" tooltip="Strategy B"/>
          <a:extLst>
            <a:ext uri="{FF2B5EF4-FFF2-40B4-BE49-F238E27FC236}">
              <a16:creationId xmlns:a16="http://schemas.microsoft.com/office/drawing/2014/main" id="{00000000-0008-0000-1D00-000009000000}"/>
            </a:ext>
          </a:extLst>
        </xdr:cNvPr>
        <xdr:cNvSpPr>
          <a:spLocks noChangeArrowheads="1"/>
        </xdr:cNvSpPr>
      </xdr:nvSpPr>
      <xdr:spPr bwMode="auto">
        <a:xfrm>
          <a:off x="7800973" y="476250"/>
          <a:ext cx="1116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7</xdr:col>
      <xdr:colOff>1447800</xdr:colOff>
      <xdr:row>1</xdr:row>
      <xdr:rowOff>104775</xdr:rowOff>
    </xdr:from>
    <xdr:to>
      <xdr:col>8</xdr:col>
      <xdr:colOff>409575</xdr:colOff>
      <xdr:row>3</xdr:row>
      <xdr:rowOff>76200</xdr:rowOff>
    </xdr:to>
    <xdr:sp macro="" textlink="">
      <xdr:nvSpPr>
        <xdr:cNvPr id="16" name="Up Arrow 15">
          <a:hlinkClick xmlns:r="http://schemas.openxmlformats.org/officeDocument/2006/relationships" r:id="rId3" tooltip="Back to top"/>
          <a:extLst>
            <a:ext uri="{FF2B5EF4-FFF2-40B4-BE49-F238E27FC236}">
              <a16:creationId xmlns:a16="http://schemas.microsoft.com/office/drawing/2014/main" id="{00000000-0008-0000-1D00-000010000000}"/>
            </a:ext>
          </a:extLst>
        </xdr:cNvPr>
        <xdr:cNvSpPr/>
      </xdr:nvSpPr>
      <xdr:spPr>
        <a:xfrm>
          <a:off x="9267825"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371475</xdr:colOff>
      <xdr:row>1</xdr:row>
      <xdr:rowOff>133350</xdr:rowOff>
    </xdr:from>
    <xdr:to>
      <xdr:col>4</xdr:col>
      <xdr:colOff>902700</xdr:colOff>
      <xdr:row>3</xdr:row>
      <xdr:rowOff>76350</xdr:rowOff>
    </xdr:to>
    <xdr:sp macro="" textlink="">
      <xdr:nvSpPr>
        <xdr:cNvPr id="17" name="Rectangle à coins arrondis 2">
          <a:hlinkClick xmlns:r="http://schemas.openxmlformats.org/officeDocument/2006/relationships" r:id="rId4" tooltip="Scorecard"/>
          <a:extLst>
            <a:ext uri="{FF2B5EF4-FFF2-40B4-BE49-F238E27FC236}">
              <a16:creationId xmlns:a16="http://schemas.microsoft.com/office/drawing/2014/main" id="{6BDBAE2C-4915-4487-9A5A-CED765D009D3}"/>
            </a:ext>
          </a:extLst>
        </xdr:cNvPr>
        <xdr:cNvSpPr>
          <a:spLocks noChangeArrowheads="1"/>
        </xdr:cNvSpPr>
      </xdr:nvSpPr>
      <xdr:spPr bwMode="auto">
        <a:xfrm>
          <a:off x="3105150" y="457200"/>
          <a:ext cx="178852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285750</xdr:colOff>
      <xdr:row>1</xdr:row>
      <xdr:rowOff>133350</xdr:rowOff>
    </xdr:from>
    <xdr:to>
      <xdr:col>2</xdr:col>
      <xdr:colOff>1114425</xdr:colOff>
      <xdr:row>3</xdr:row>
      <xdr:rowOff>76350</xdr:rowOff>
    </xdr:to>
    <xdr:sp macro="" textlink="">
      <xdr:nvSpPr>
        <xdr:cNvPr id="18" name="Rectangle à coins arrondis 3">
          <a:hlinkClick xmlns:r="http://schemas.openxmlformats.org/officeDocument/2006/relationships" r:id="rId5" tooltip="Back to Materials &amp; Resources"/>
          <a:extLst>
            <a:ext uri="{FF2B5EF4-FFF2-40B4-BE49-F238E27FC236}">
              <a16:creationId xmlns:a16="http://schemas.microsoft.com/office/drawing/2014/main" id="{B0DB9AE3-5281-40E3-A6D2-B0538A517328}"/>
            </a:ext>
          </a:extLst>
        </xdr:cNvPr>
        <xdr:cNvSpPr>
          <a:spLocks noChangeArrowheads="1"/>
        </xdr:cNvSpPr>
      </xdr:nvSpPr>
      <xdr:spPr bwMode="auto">
        <a:xfrm>
          <a:off x="285750" y="457200"/>
          <a:ext cx="24384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 &amp; Resources</a:t>
          </a:r>
        </a:p>
      </xdr:txBody>
    </xdr:sp>
    <xdr:clientData/>
  </xdr:twoCellAnchor>
  <xdr:twoCellAnchor editAs="oneCell">
    <xdr:from>
      <xdr:col>1</xdr:col>
      <xdr:colOff>38100</xdr:colOff>
      <xdr:row>19</xdr:row>
      <xdr:rowOff>133350</xdr:rowOff>
    </xdr:from>
    <xdr:to>
      <xdr:col>1</xdr:col>
      <xdr:colOff>470100</xdr:colOff>
      <xdr:row>21</xdr:row>
      <xdr:rowOff>146250</xdr:rowOff>
    </xdr:to>
    <xdr:pic>
      <xdr:nvPicPr>
        <xdr:cNvPr id="19" name="Picture 18">
          <a:extLst>
            <a:ext uri="{FF2B5EF4-FFF2-40B4-BE49-F238E27FC236}">
              <a16:creationId xmlns:a16="http://schemas.microsoft.com/office/drawing/2014/main" id="{AFD5DD7D-80A4-4A01-8EB5-344E50BAEA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 y="4819650"/>
          <a:ext cx="432000" cy="432000"/>
        </a:xfrm>
        <a:prstGeom prst="rect">
          <a:avLst/>
        </a:prstGeom>
      </xdr:spPr>
    </xdr:pic>
    <xdr:clientData/>
  </xdr:twoCellAnchor>
  <xdr:twoCellAnchor editAs="oneCell">
    <xdr:from>
      <xdr:col>1</xdr:col>
      <xdr:colOff>0</xdr:colOff>
      <xdr:row>64</xdr:row>
      <xdr:rowOff>66675</xdr:rowOff>
    </xdr:from>
    <xdr:to>
      <xdr:col>1</xdr:col>
      <xdr:colOff>396000</xdr:colOff>
      <xdr:row>66</xdr:row>
      <xdr:rowOff>119775</xdr:rowOff>
    </xdr:to>
    <xdr:pic>
      <xdr:nvPicPr>
        <xdr:cNvPr id="20" name="Picture 19">
          <a:extLst>
            <a:ext uri="{FF2B5EF4-FFF2-40B4-BE49-F238E27FC236}">
              <a16:creationId xmlns:a16="http://schemas.microsoft.com/office/drawing/2014/main" id="{A3625226-80EC-4CAD-B5F3-68BEF862F7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716125"/>
          <a:ext cx="396000" cy="396000"/>
        </a:xfrm>
        <a:prstGeom prst="rect">
          <a:avLst/>
        </a:prstGeom>
      </xdr:spPr>
    </xdr:pic>
    <xdr:clientData/>
  </xdr:twoCellAnchor>
  <xdr:twoCellAnchor editAs="oneCell">
    <xdr:from>
      <xdr:col>1</xdr:col>
      <xdr:colOff>28575</xdr:colOff>
      <xdr:row>66</xdr:row>
      <xdr:rowOff>171450</xdr:rowOff>
    </xdr:from>
    <xdr:to>
      <xdr:col>1</xdr:col>
      <xdr:colOff>388575</xdr:colOff>
      <xdr:row>68</xdr:row>
      <xdr:rowOff>83775</xdr:rowOff>
    </xdr:to>
    <xdr:pic>
      <xdr:nvPicPr>
        <xdr:cNvPr id="22" name="Picture 21">
          <a:extLst>
            <a:ext uri="{FF2B5EF4-FFF2-40B4-BE49-F238E27FC236}">
              <a16:creationId xmlns:a16="http://schemas.microsoft.com/office/drawing/2014/main" id="{DC0D4045-5A4F-4100-BFCD-7FAA346E76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15163800"/>
          <a:ext cx="360000" cy="360000"/>
        </a:xfrm>
        <a:prstGeom prst="rect">
          <a:avLst/>
        </a:prstGeom>
      </xdr:spPr>
    </xdr:pic>
    <xdr:clientData/>
  </xdr:twoCellAnchor>
  <xdr:twoCellAnchor editAs="oneCell">
    <xdr:from>
      <xdr:col>1</xdr:col>
      <xdr:colOff>19050</xdr:colOff>
      <xdr:row>30</xdr:row>
      <xdr:rowOff>95250</xdr:rowOff>
    </xdr:from>
    <xdr:to>
      <xdr:col>1</xdr:col>
      <xdr:colOff>415050</xdr:colOff>
      <xdr:row>32</xdr:row>
      <xdr:rowOff>110250</xdr:rowOff>
    </xdr:to>
    <xdr:pic>
      <xdr:nvPicPr>
        <xdr:cNvPr id="23" name="Picture 22">
          <a:extLst>
            <a:ext uri="{FF2B5EF4-FFF2-40B4-BE49-F238E27FC236}">
              <a16:creationId xmlns:a16="http://schemas.microsoft.com/office/drawing/2014/main" id="{FB3E690F-51C0-4899-A2E8-BB33C556F2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6991350"/>
          <a:ext cx="396000" cy="396000"/>
        </a:xfrm>
        <a:prstGeom prst="rect">
          <a:avLst/>
        </a:prstGeom>
      </xdr:spPr>
    </xdr:pic>
    <xdr:clientData/>
  </xdr:twoCellAnchor>
  <xdr:twoCellAnchor editAs="oneCell">
    <xdr:from>
      <xdr:col>1</xdr:col>
      <xdr:colOff>9525</xdr:colOff>
      <xdr:row>22</xdr:row>
      <xdr:rowOff>104775</xdr:rowOff>
    </xdr:from>
    <xdr:to>
      <xdr:col>1</xdr:col>
      <xdr:colOff>405525</xdr:colOff>
      <xdr:row>24</xdr:row>
      <xdr:rowOff>119775</xdr:rowOff>
    </xdr:to>
    <xdr:pic>
      <xdr:nvPicPr>
        <xdr:cNvPr id="24" name="Picture 23">
          <a:extLst>
            <a:ext uri="{FF2B5EF4-FFF2-40B4-BE49-F238E27FC236}">
              <a16:creationId xmlns:a16="http://schemas.microsoft.com/office/drawing/2014/main" id="{B8F08FFA-003C-4FDF-A4C1-FC2F20679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5419725"/>
          <a:ext cx="396000" cy="39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5</xdr:col>
      <xdr:colOff>523875</xdr:colOff>
      <xdr:row>1</xdr:row>
      <xdr:rowOff>161925</xdr:rowOff>
    </xdr:from>
    <xdr:to>
      <xdr:col>6</xdr:col>
      <xdr:colOff>447150</xdr:colOff>
      <xdr:row>3</xdr:row>
      <xdr:rowOff>68925</xdr:rowOff>
    </xdr:to>
    <xdr:sp macro="" textlink="">
      <xdr:nvSpPr>
        <xdr:cNvPr id="20" name="Rectangle à coins arrondis 2">
          <a:hlinkClick xmlns:r="http://schemas.openxmlformats.org/officeDocument/2006/relationships" r:id="rId1" tooltip="Strategy A"/>
          <a:extLst>
            <a:ext uri="{FF2B5EF4-FFF2-40B4-BE49-F238E27FC236}">
              <a16:creationId xmlns:a16="http://schemas.microsoft.com/office/drawing/2014/main" id="{00000000-0008-0000-1E00-000014000000}"/>
            </a:ext>
          </a:extLst>
        </xdr:cNvPr>
        <xdr:cNvSpPr>
          <a:spLocks noChangeArrowheads="1"/>
        </xdr:cNvSpPr>
      </xdr:nvSpPr>
      <xdr:spPr bwMode="auto">
        <a:xfrm>
          <a:off x="5819775" y="485775"/>
          <a:ext cx="1152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552449</xdr:colOff>
      <xdr:row>1</xdr:row>
      <xdr:rowOff>161925</xdr:rowOff>
    </xdr:from>
    <xdr:to>
      <xdr:col>7</xdr:col>
      <xdr:colOff>475724</xdr:colOff>
      <xdr:row>3</xdr:row>
      <xdr:rowOff>68925</xdr:rowOff>
    </xdr:to>
    <xdr:sp macro="" textlink="">
      <xdr:nvSpPr>
        <xdr:cNvPr id="21" name="Rectangle à coins arrondis 2">
          <a:hlinkClick xmlns:r="http://schemas.openxmlformats.org/officeDocument/2006/relationships" r:id="rId2" tooltip="Strategy B"/>
          <a:extLst>
            <a:ext uri="{FF2B5EF4-FFF2-40B4-BE49-F238E27FC236}">
              <a16:creationId xmlns:a16="http://schemas.microsoft.com/office/drawing/2014/main" id="{00000000-0008-0000-1E00-000015000000}"/>
            </a:ext>
          </a:extLst>
        </xdr:cNvPr>
        <xdr:cNvSpPr>
          <a:spLocks noChangeArrowheads="1"/>
        </xdr:cNvSpPr>
      </xdr:nvSpPr>
      <xdr:spPr bwMode="auto">
        <a:xfrm>
          <a:off x="7077074" y="485775"/>
          <a:ext cx="1152000" cy="288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7</xdr:col>
      <xdr:colOff>866775</xdr:colOff>
      <xdr:row>1</xdr:row>
      <xdr:rowOff>114300</xdr:rowOff>
    </xdr:from>
    <xdr:to>
      <xdr:col>7</xdr:col>
      <xdr:colOff>1314450</xdr:colOff>
      <xdr:row>3</xdr:row>
      <xdr:rowOff>85725</xdr:rowOff>
    </xdr:to>
    <xdr:sp macro="" textlink="">
      <xdr:nvSpPr>
        <xdr:cNvPr id="12" name="Up Arrow 11">
          <a:hlinkClick xmlns:r="http://schemas.openxmlformats.org/officeDocument/2006/relationships" r:id="rId3" tooltip="Back to top"/>
          <a:extLst>
            <a:ext uri="{FF2B5EF4-FFF2-40B4-BE49-F238E27FC236}">
              <a16:creationId xmlns:a16="http://schemas.microsoft.com/office/drawing/2014/main" id="{00000000-0008-0000-1E00-00000C000000}"/>
            </a:ext>
          </a:extLst>
        </xdr:cNvPr>
        <xdr:cNvSpPr/>
      </xdr:nvSpPr>
      <xdr:spPr>
        <a:xfrm>
          <a:off x="8620125" y="438150"/>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47625</xdr:colOff>
      <xdr:row>47</xdr:row>
      <xdr:rowOff>76200</xdr:rowOff>
    </xdr:from>
    <xdr:to>
      <xdr:col>1</xdr:col>
      <xdr:colOff>479625</xdr:colOff>
      <xdr:row>49</xdr:row>
      <xdr:rowOff>127200</xdr:rowOff>
    </xdr:to>
    <xdr:pic>
      <xdr:nvPicPr>
        <xdr:cNvPr id="11" name="Picture 10">
          <a:extLst>
            <a:ext uri="{FF2B5EF4-FFF2-40B4-BE49-F238E27FC236}">
              <a16:creationId xmlns:a16="http://schemas.microsoft.com/office/drawing/2014/main" id="{157A5E95-B2B9-42AF-9470-4C891CE00D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625" y="12811125"/>
          <a:ext cx="432000" cy="432000"/>
        </a:xfrm>
        <a:prstGeom prst="rect">
          <a:avLst/>
        </a:prstGeom>
      </xdr:spPr>
    </xdr:pic>
    <xdr:clientData/>
  </xdr:twoCellAnchor>
  <xdr:twoCellAnchor editAs="oneCell">
    <xdr:from>
      <xdr:col>1</xdr:col>
      <xdr:colOff>0</xdr:colOff>
      <xdr:row>18</xdr:row>
      <xdr:rowOff>104775</xdr:rowOff>
    </xdr:from>
    <xdr:to>
      <xdr:col>1</xdr:col>
      <xdr:colOff>396000</xdr:colOff>
      <xdr:row>20</xdr:row>
      <xdr:rowOff>119775</xdr:rowOff>
    </xdr:to>
    <xdr:pic>
      <xdr:nvPicPr>
        <xdr:cNvPr id="14" name="Picture 13">
          <a:extLst>
            <a:ext uri="{FF2B5EF4-FFF2-40B4-BE49-F238E27FC236}">
              <a16:creationId xmlns:a16="http://schemas.microsoft.com/office/drawing/2014/main" id="{74D1936A-6A00-421F-A7A2-DD6DF0AE88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 y="4419600"/>
          <a:ext cx="396000" cy="396000"/>
        </a:xfrm>
        <a:prstGeom prst="rect">
          <a:avLst/>
        </a:prstGeom>
      </xdr:spPr>
    </xdr:pic>
    <xdr:clientData/>
  </xdr:twoCellAnchor>
  <xdr:twoCellAnchor>
    <xdr:from>
      <xdr:col>3</xdr:col>
      <xdr:colOff>257175</xdr:colOff>
      <xdr:row>1</xdr:row>
      <xdr:rowOff>133350</xdr:rowOff>
    </xdr:from>
    <xdr:to>
      <xdr:col>4</xdr:col>
      <xdr:colOff>816975</xdr:colOff>
      <xdr:row>3</xdr:row>
      <xdr:rowOff>76350</xdr:rowOff>
    </xdr:to>
    <xdr:sp macro="" textlink="">
      <xdr:nvSpPr>
        <xdr:cNvPr id="15" name="Rectangle à coins arrondis 2">
          <a:hlinkClick xmlns:r="http://schemas.openxmlformats.org/officeDocument/2006/relationships" r:id="rId5" tooltip="Scorecard"/>
          <a:extLst>
            <a:ext uri="{FF2B5EF4-FFF2-40B4-BE49-F238E27FC236}">
              <a16:creationId xmlns:a16="http://schemas.microsoft.com/office/drawing/2014/main" id="{9A2C4E3A-1939-4FF4-AFB9-790BBA887F00}"/>
            </a:ext>
          </a:extLst>
        </xdr:cNvPr>
        <xdr:cNvSpPr>
          <a:spLocks noChangeArrowheads="1"/>
        </xdr:cNvSpPr>
      </xdr:nvSpPr>
      <xdr:spPr bwMode="auto">
        <a:xfrm>
          <a:off x="3095625" y="457200"/>
          <a:ext cx="178852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0</xdr:col>
      <xdr:colOff>276225</xdr:colOff>
      <xdr:row>1</xdr:row>
      <xdr:rowOff>133350</xdr:rowOff>
    </xdr:from>
    <xdr:to>
      <xdr:col>2</xdr:col>
      <xdr:colOff>1104900</xdr:colOff>
      <xdr:row>3</xdr:row>
      <xdr:rowOff>76350</xdr:rowOff>
    </xdr:to>
    <xdr:sp macro="" textlink="">
      <xdr:nvSpPr>
        <xdr:cNvPr id="16" name="Rectangle à coins arrondis 3">
          <a:hlinkClick xmlns:r="http://schemas.openxmlformats.org/officeDocument/2006/relationships" r:id="rId6" tooltip="Back to Materials &amp; Resources"/>
          <a:extLst>
            <a:ext uri="{FF2B5EF4-FFF2-40B4-BE49-F238E27FC236}">
              <a16:creationId xmlns:a16="http://schemas.microsoft.com/office/drawing/2014/main" id="{F907BC66-1B82-45E0-BC78-2C4A5170506F}"/>
            </a:ext>
          </a:extLst>
        </xdr:cNvPr>
        <xdr:cNvSpPr>
          <a:spLocks noChangeArrowheads="1"/>
        </xdr:cNvSpPr>
      </xdr:nvSpPr>
      <xdr:spPr bwMode="auto">
        <a:xfrm>
          <a:off x="276225" y="457200"/>
          <a:ext cx="24384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 &amp; Resources</a:t>
          </a:r>
        </a:p>
      </xdr:txBody>
    </xdr:sp>
    <xdr:clientData/>
  </xdr:twoCellAnchor>
  <xdr:twoCellAnchor editAs="oneCell">
    <xdr:from>
      <xdr:col>1</xdr:col>
      <xdr:colOff>28575</xdr:colOff>
      <xdr:row>21</xdr:row>
      <xdr:rowOff>76200</xdr:rowOff>
    </xdr:from>
    <xdr:to>
      <xdr:col>1</xdr:col>
      <xdr:colOff>388575</xdr:colOff>
      <xdr:row>23</xdr:row>
      <xdr:rowOff>93300</xdr:rowOff>
    </xdr:to>
    <xdr:pic>
      <xdr:nvPicPr>
        <xdr:cNvPr id="17" name="Picture 16">
          <a:extLst>
            <a:ext uri="{FF2B5EF4-FFF2-40B4-BE49-F238E27FC236}">
              <a16:creationId xmlns:a16="http://schemas.microsoft.com/office/drawing/2014/main" id="{9A3462E1-AD40-473D-A919-A11CD7EF9C3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4972050"/>
          <a:ext cx="360000" cy="360000"/>
        </a:xfrm>
        <a:prstGeom prst="rect">
          <a:avLst/>
        </a:prstGeom>
      </xdr:spPr>
    </xdr:pic>
    <xdr:clientData/>
  </xdr:twoCellAnchor>
  <xdr:twoCellAnchor editAs="oneCell">
    <xdr:from>
      <xdr:col>1</xdr:col>
      <xdr:colOff>9525</xdr:colOff>
      <xdr:row>50</xdr:row>
      <xdr:rowOff>123825</xdr:rowOff>
    </xdr:from>
    <xdr:to>
      <xdr:col>1</xdr:col>
      <xdr:colOff>369525</xdr:colOff>
      <xdr:row>52</xdr:row>
      <xdr:rowOff>93300</xdr:rowOff>
    </xdr:to>
    <xdr:pic>
      <xdr:nvPicPr>
        <xdr:cNvPr id="18" name="Picture 17">
          <a:extLst>
            <a:ext uri="{FF2B5EF4-FFF2-40B4-BE49-F238E27FC236}">
              <a16:creationId xmlns:a16="http://schemas.microsoft.com/office/drawing/2014/main" id="{9398722D-78A7-4CF2-BBF6-72579D4EFD4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13458825"/>
          <a:ext cx="360000"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53</xdr:row>
      <xdr:rowOff>95250</xdr:rowOff>
    </xdr:from>
    <xdr:to>
      <xdr:col>8</xdr:col>
      <xdr:colOff>19050</xdr:colOff>
      <xdr:row>55</xdr:row>
      <xdr:rowOff>180975</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 b="38961"/>
        <a:stretch/>
      </xdr:blipFill>
      <xdr:spPr bwMode="auto">
        <a:xfrm>
          <a:off x="352425" y="11839575"/>
          <a:ext cx="5743575" cy="4476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209550</xdr:colOff>
      <xdr:row>1</xdr:row>
      <xdr:rowOff>152399</xdr:rowOff>
    </xdr:from>
    <xdr:to>
      <xdr:col>12</xdr:col>
      <xdr:colOff>513975</xdr:colOff>
      <xdr:row>3</xdr:row>
      <xdr:rowOff>19199</xdr:rowOff>
    </xdr:to>
    <xdr:sp macro="" textlink="">
      <xdr:nvSpPr>
        <xdr:cNvPr id="44" name="Rectangle à coins arrondis 2">
          <a:hlinkClick xmlns:r="http://schemas.openxmlformats.org/officeDocument/2006/relationships" r:id="rId2" tooltip="Recommendations"/>
          <a:extLst>
            <a:ext uri="{FF2B5EF4-FFF2-40B4-BE49-F238E27FC236}">
              <a16:creationId xmlns:a16="http://schemas.microsoft.com/office/drawing/2014/main" id="{00000000-0008-0000-0300-00002C000000}"/>
            </a:ext>
          </a:extLst>
        </xdr:cNvPr>
        <xdr:cNvSpPr>
          <a:spLocks noChangeArrowheads="1"/>
        </xdr:cNvSpPr>
      </xdr:nvSpPr>
      <xdr:spPr bwMode="auto">
        <a:xfrm>
          <a:off x="8686800" y="533399"/>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84806"/>
            </a:solidFill>
            <a:latin typeface="Arial" pitchFamily="34" charset="0"/>
            <a:cs typeface="Arial" pitchFamily="34" charset="0"/>
          </a:endParaRPr>
        </a:p>
      </xdr:txBody>
    </xdr:sp>
    <xdr:clientData/>
  </xdr:twoCellAnchor>
  <xdr:twoCellAnchor>
    <xdr:from>
      <xdr:col>12</xdr:col>
      <xdr:colOff>600450</xdr:colOff>
      <xdr:row>1</xdr:row>
      <xdr:rowOff>152400</xdr:rowOff>
    </xdr:from>
    <xdr:to>
      <xdr:col>14</xdr:col>
      <xdr:colOff>295275</xdr:colOff>
      <xdr:row>3</xdr:row>
      <xdr:rowOff>19200</xdr:rowOff>
    </xdr:to>
    <xdr:sp macro="" textlink="">
      <xdr:nvSpPr>
        <xdr:cNvPr id="45" name="Rectangle à coins arrondis 2">
          <a:hlinkClick xmlns:r="http://schemas.openxmlformats.org/officeDocument/2006/relationships" r:id="rId3" tooltip="Scorecard"/>
          <a:extLst>
            <a:ext uri="{FF2B5EF4-FFF2-40B4-BE49-F238E27FC236}">
              <a16:creationId xmlns:a16="http://schemas.microsoft.com/office/drawing/2014/main" id="{00000000-0008-0000-0300-00002D000000}"/>
            </a:ext>
          </a:extLst>
        </xdr:cNvPr>
        <xdr:cNvSpPr>
          <a:spLocks noChangeArrowheads="1"/>
        </xdr:cNvSpPr>
      </xdr:nvSpPr>
      <xdr:spPr bwMode="auto">
        <a:xfrm>
          <a:off x="10249275" y="533400"/>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9</xdr:col>
      <xdr:colOff>247650</xdr:colOff>
      <xdr:row>1</xdr:row>
      <xdr:rowOff>152399</xdr:rowOff>
    </xdr:from>
    <xdr:to>
      <xdr:col>11</xdr:col>
      <xdr:colOff>123450</xdr:colOff>
      <xdr:row>3</xdr:row>
      <xdr:rowOff>19199</xdr:rowOff>
    </xdr:to>
    <xdr:sp macro="" textlink="">
      <xdr:nvSpPr>
        <xdr:cNvPr id="46" name="Rectangle à coins arrondis 2">
          <a:hlinkClick xmlns:r="http://schemas.openxmlformats.org/officeDocument/2006/relationships" r:id="rId4" tooltip="Instructions"/>
          <a:extLst>
            <a:ext uri="{FF2B5EF4-FFF2-40B4-BE49-F238E27FC236}">
              <a16:creationId xmlns:a16="http://schemas.microsoft.com/office/drawing/2014/main" id="{00000000-0008-0000-0300-00002E000000}"/>
            </a:ext>
          </a:extLst>
        </xdr:cNvPr>
        <xdr:cNvSpPr>
          <a:spLocks noChangeArrowheads="1"/>
        </xdr:cNvSpPr>
      </xdr:nvSpPr>
      <xdr:spPr bwMode="auto">
        <a:xfrm>
          <a:off x="7124700" y="533399"/>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84806"/>
            </a:solidFill>
            <a:latin typeface="Arial" panose="020B0604020202020204" pitchFamily="34" charset="0"/>
            <a:cs typeface="Arial" panose="020B0604020202020204" pitchFamily="34" charset="0"/>
          </a:endParaRPr>
        </a:p>
      </xdr:txBody>
    </xdr:sp>
    <xdr:clientData/>
  </xdr:twoCellAnchor>
  <xdr:twoCellAnchor>
    <xdr:from>
      <xdr:col>9</xdr:col>
      <xdr:colOff>247650</xdr:colOff>
      <xdr:row>3</xdr:row>
      <xdr:rowOff>133350</xdr:rowOff>
    </xdr:from>
    <xdr:to>
      <xdr:col>11</xdr:col>
      <xdr:colOff>123450</xdr:colOff>
      <xdr:row>5</xdr:row>
      <xdr:rowOff>150</xdr:rowOff>
    </xdr:to>
    <xdr:sp macro="" textlink="">
      <xdr:nvSpPr>
        <xdr:cNvPr id="48" name="Rectangle à coins arrondis 2">
          <a:hlinkClick xmlns:r="http://schemas.openxmlformats.org/officeDocument/2006/relationships" r:id="rId5" tooltip="Project Information"/>
          <a:extLst>
            <a:ext uri="{FF2B5EF4-FFF2-40B4-BE49-F238E27FC236}">
              <a16:creationId xmlns:a16="http://schemas.microsoft.com/office/drawing/2014/main" id="{00000000-0008-0000-0300-000030000000}"/>
            </a:ext>
          </a:extLst>
        </xdr:cNvPr>
        <xdr:cNvSpPr>
          <a:spLocks noChangeArrowheads="1"/>
        </xdr:cNvSpPr>
      </xdr:nvSpPr>
      <xdr:spPr bwMode="auto">
        <a:xfrm>
          <a:off x="7124700" y="971550"/>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Project Information</a:t>
          </a:r>
        </a:p>
      </xdr:txBody>
    </xdr:sp>
    <xdr:clientData/>
  </xdr:twoCellAnchor>
  <xdr:twoCellAnchor>
    <xdr:from>
      <xdr:col>11</xdr:col>
      <xdr:colOff>219450</xdr:colOff>
      <xdr:row>3</xdr:row>
      <xdr:rowOff>142875</xdr:rowOff>
    </xdr:from>
    <xdr:to>
      <xdr:col>12</xdr:col>
      <xdr:colOff>523875</xdr:colOff>
      <xdr:row>5</xdr:row>
      <xdr:rowOff>9675</xdr:rowOff>
    </xdr:to>
    <xdr:sp macro="" textlink="">
      <xdr:nvSpPr>
        <xdr:cNvPr id="49" name="Rectangle à coins arrondis 2">
          <a:hlinkClick xmlns:r="http://schemas.openxmlformats.org/officeDocument/2006/relationships" r:id="rId6" tooltip="Graphical Results"/>
          <a:extLst>
            <a:ext uri="{FF2B5EF4-FFF2-40B4-BE49-F238E27FC236}">
              <a16:creationId xmlns:a16="http://schemas.microsoft.com/office/drawing/2014/main" id="{00000000-0008-0000-0300-000031000000}"/>
            </a:ext>
          </a:extLst>
        </xdr:cNvPr>
        <xdr:cNvSpPr>
          <a:spLocks noChangeArrowheads="1"/>
        </xdr:cNvSpPr>
      </xdr:nvSpPr>
      <xdr:spPr bwMode="auto">
        <a:xfrm>
          <a:off x="8696700" y="9810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Graphical Results </a:t>
          </a:r>
        </a:p>
      </xdr:txBody>
    </xdr:sp>
    <xdr:clientData/>
  </xdr:twoCellAnchor>
  <xdr:twoCellAnchor editAs="oneCell">
    <xdr:from>
      <xdr:col>2</xdr:col>
      <xdr:colOff>362587</xdr:colOff>
      <xdr:row>60</xdr:row>
      <xdr:rowOff>85708</xdr:rowOff>
    </xdr:from>
    <xdr:to>
      <xdr:col>8</xdr:col>
      <xdr:colOff>210337</xdr:colOff>
      <xdr:row>66</xdr:row>
      <xdr:rowOff>157283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4612" y="13696933"/>
          <a:ext cx="4896000" cy="1214575"/>
        </a:xfrm>
        <a:prstGeom prst="rect">
          <a:avLst/>
        </a:prstGeom>
        <a:noFill/>
        <a:ln>
          <a:noFill/>
        </a:ln>
      </xdr:spPr>
    </xdr:pic>
    <xdr:clientData/>
  </xdr:twoCellAnchor>
  <xdr:twoCellAnchor>
    <xdr:from>
      <xdr:col>10</xdr:col>
      <xdr:colOff>590550</xdr:colOff>
      <xdr:row>22</xdr:row>
      <xdr:rowOff>47625</xdr:rowOff>
    </xdr:from>
    <xdr:to>
      <xdr:col>12</xdr:col>
      <xdr:colOff>9150</xdr:colOff>
      <xdr:row>23</xdr:row>
      <xdr:rowOff>181125</xdr:rowOff>
    </xdr:to>
    <xdr:sp macro="" textlink="">
      <xdr:nvSpPr>
        <xdr:cNvPr id="12" name="Rectangle à coins arrondis 2">
          <a:hlinkClick xmlns:r="http://schemas.openxmlformats.org/officeDocument/2006/relationships" r:id="rId8" tooltip="Eligibility"/>
          <a:extLst>
            <a:ext uri="{FF2B5EF4-FFF2-40B4-BE49-F238E27FC236}">
              <a16:creationId xmlns:a16="http://schemas.microsoft.com/office/drawing/2014/main" id="{00000000-0008-0000-0300-00000C000000}"/>
            </a:ext>
          </a:extLst>
        </xdr:cNvPr>
        <xdr:cNvSpPr>
          <a:spLocks noChangeArrowheads="1"/>
        </xdr:cNvSpPr>
      </xdr:nvSpPr>
      <xdr:spPr bwMode="auto">
        <a:xfrm>
          <a:off x="8181975" y="40671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Eligibility</a:t>
          </a:r>
        </a:p>
      </xdr:txBody>
    </xdr:sp>
    <xdr:clientData/>
  </xdr:twoCellAnchor>
  <xdr:twoCellAnchor>
    <xdr:from>
      <xdr:col>9</xdr:col>
      <xdr:colOff>352425</xdr:colOff>
      <xdr:row>22</xdr:row>
      <xdr:rowOff>19050</xdr:rowOff>
    </xdr:from>
    <xdr:to>
      <xdr:col>10</xdr:col>
      <xdr:colOff>466725</xdr:colOff>
      <xdr:row>24</xdr:row>
      <xdr:rowOff>28575</xdr:rowOff>
    </xdr:to>
    <xdr:sp macro="" textlink="">
      <xdr:nvSpPr>
        <xdr:cNvPr id="2" name="Right Arrow 1">
          <a:extLst>
            <a:ext uri="{FF2B5EF4-FFF2-40B4-BE49-F238E27FC236}">
              <a16:creationId xmlns:a16="http://schemas.microsoft.com/office/drawing/2014/main" id="{00000000-0008-0000-0300-000002000000}"/>
            </a:ext>
          </a:extLst>
        </xdr:cNvPr>
        <xdr:cNvSpPr/>
      </xdr:nvSpPr>
      <xdr:spPr>
        <a:xfrm>
          <a:off x="7229475" y="4038600"/>
          <a:ext cx="828675" cy="390525"/>
        </a:xfrm>
        <a:prstGeom prst="right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609600</xdr:colOff>
      <xdr:row>3</xdr:row>
      <xdr:rowOff>142875</xdr:rowOff>
    </xdr:from>
    <xdr:to>
      <xdr:col>14</xdr:col>
      <xdr:colOff>304425</xdr:colOff>
      <xdr:row>5</xdr:row>
      <xdr:rowOff>9675</xdr:rowOff>
    </xdr:to>
    <xdr:sp macro="" textlink="">
      <xdr:nvSpPr>
        <xdr:cNvPr id="14" name="Rectangle à coins arrondis 2">
          <a:hlinkClick xmlns:r="http://schemas.openxmlformats.org/officeDocument/2006/relationships" r:id="rId9" tooltip="Glossary"/>
          <a:extLst>
            <a:ext uri="{FF2B5EF4-FFF2-40B4-BE49-F238E27FC236}">
              <a16:creationId xmlns:a16="http://schemas.microsoft.com/office/drawing/2014/main" id="{00000000-0008-0000-0300-00000E000000}"/>
            </a:ext>
          </a:extLst>
        </xdr:cNvPr>
        <xdr:cNvSpPr>
          <a:spLocks noChangeArrowheads="1"/>
        </xdr:cNvSpPr>
      </xdr:nvSpPr>
      <xdr:spPr bwMode="auto">
        <a:xfrm>
          <a:off x="10258425" y="981075"/>
          <a:ext cx="1476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Glossary</a:t>
          </a:r>
        </a:p>
      </xdr:txBody>
    </xdr:sp>
    <xdr:clientData/>
  </xdr:twoCellAnchor>
  <xdr:twoCellAnchor editAs="oneCell">
    <xdr:from>
      <xdr:col>1</xdr:col>
      <xdr:colOff>123826</xdr:colOff>
      <xdr:row>70</xdr:row>
      <xdr:rowOff>57150</xdr:rowOff>
    </xdr:from>
    <xdr:to>
      <xdr:col>8</xdr:col>
      <xdr:colOff>120916</xdr:colOff>
      <xdr:row>82</xdr:row>
      <xdr:rowOff>39150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1476" y="14306550"/>
          <a:ext cx="5759715" cy="2268000"/>
        </a:xfrm>
        <a:prstGeom prst="rect">
          <a:avLst/>
        </a:prstGeom>
        <a:ln>
          <a:solidFill>
            <a:schemeClr val="bg1">
              <a:lumMod val="50000"/>
            </a:schemeClr>
          </a:solidFill>
        </a:ln>
      </xdr:spPr>
    </xdr:pic>
    <xdr:clientData/>
  </xdr:twoCellAnchor>
  <xdr:twoCellAnchor editAs="oneCell">
    <xdr:from>
      <xdr:col>1</xdr:col>
      <xdr:colOff>19050</xdr:colOff>
      <xdr:row>58</xdr:row>
      <xdr:rowOff>47626</xdr:rowOff>
    </xdr:from>
    <xdr:to>
      <xdr:col>8</xdr:col>
      <xdr:colOff>0</xdr:colOff>
      <xdr:row>60</xdr:row>
      <xdr:rowOff>85726</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44303"/>
        <a:stretch/>
      </xdr:blipFill>
      <xdr:spPr bwMode="auto">
        <a:xfrm>
          <a:off x="266700" y="11915776"/>
          <a:ext cx="574357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361950</xdr:colOff>
      <xdr:row>2</xdr:row>
      <xdr:rowOff>76200</xdr:rowOff>
    </xdr:from>
    <xdr:to>
      <xdr:col>8</xdr:col>
      <xdr:colOff>809625</xdr:colOff>
      <xdr:row>3</xdr:row>
      <xdr:rowOff>200025</xdr:rowOff>
    </xdr:to>
    <xdr:sp macro="" textlink="">
      <xdr:nvSpPr>
        <xdr:cNvPr id="15" name="Up Arrow 14">
          <a:hlinkClick xmlns:r="http://schemas.openxmlformats.org/officeDocument/2006/relationships" r:id="rId12" tooltip="Back to top"/>
          <a:extLst>
            <a:ext uri="{FF2B5EF4-FFF2-40B4-BE49-F238E27FC236}">
              <a16:creationId xmlns:a16="http://schemas.microsoft.com/office/drawing/2014/main" id="{00000000-0008-0000-0300-00000F000000}"/>
            </a:ext>
          </a:extLst>
        </xdr:cNvPr>
        <xdr:cNvSpPr/>
      </xdr:nvSpPr>
      <xdr:spPr>
        <a:xfrm>
          <a:off x="6372225" y="685800"/>
          <a:ext cx="447675" cy="352425"/>
        </a:xfrm>
        <a:prstGeom prst="upArrow">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116417</xdr:colOff>
      <xdr:row>0</xdr:row>
      <xdr:rowOff>84664</xdr:rowOff>
    </xdr:from>
    <xdr:to>
      <xdr:col>11</xdr:col>
      <xdr:colOff>105707</xdr:colOff>
      <xdr:row>4</xdr:row>
      <xdr:rowOff>189731</xdr:rowOff>
    </xdr:to>
    <xdr:pic>
      <xdr:nvPicPr>
        <xdr:cNvPr id="5" name="Image 2" descr="HC.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9831917" y="84664"/>
          <a:ext cx="888873" cy="898817"/>
        </a:xfrm>
        <a:prstGeom prst="rect">
          <a:avLst/>
        </a:prstGeom>
        <a:noFill/>
        <a:ln w="9525">
          <a:noFill/>
          <a:miter lim="800000"/>
          <a:headEnd/>
          <a:tailEnd/>
        </a:ln>
      </xdr:spPr>
    </xdr:pic>
    <xdr:clientData/>
  </xdr:twoCellAnchor>
  <xdr:twoCellAnchor>
    <xdr:from>
      <xdr:col>0</xdr:col>
      <xdr:colOff>349250</xdr:colOff>
      <xdr:row>14</xdr:row>
      <xdr:rowOff>222251</xdr:rowOff>
    </xdr:from>
    <xdr:to>
      <xdr:col>1</xdr:col>
      <xdr:colOff>1948250</xdr:colOff>
      <xdr:row>15</xdr:row>
      <xdr:rowOff>275336</xdr:rowOff>
    </xdr:to>
    <xdr:sp macro="" textlink="">
      <xdr:nvSpPr>
        <xdr:cNvPr id="4" name="Rectangle à coins arrondis 2">
          <a:hlinkClick xmlns:r="http://schemas.openxmlformats.org/officeDocument/2006/relationships" r:id="rId2" tooltip="See the Scorecard"/>
          <a:extLst>
            <a:ext uri="{FF2B5EF4-FFF2-40B4-BE49-F238E27FC236}">
              <a16:creationId xmlns:a16="http://schemas.microsoft.com/office/drawing/2014/main" id="{00000000-0008-0000-1F00-000004000000}"/>
            </a:ext>
          </a:extLst>
        </xdr:cNvPr>
        <xdr:cNvSpPr>
          <a:spLocks noChangeArrowheads="1"/>
        </xdr:cNvSpPr>
      </xdr:nvSpPr>
      <xdr:spPr bwMode="auto">
        <a:xfrm>
          <a:off x="349250" y="3513668"/>
          <a:ext cx="1980000" cy="36000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314324</xdr:colOff>
      <xdr:row>1</xdr:row>
      <xdr:rowOff>133351</xdr:rowOff>
    </xdr:from>
    <xdr:to>
      <xdr:col>2</xdr:col>
      <xdr:colOff>769349</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000-000002000000}"/>
            </a:ext>
          </a:extLst>
        </xdr:cNvPr>
        <xdr:cNvSpPr>
          <a:spLocks noChangeArrowheads="1"/>
        </xdr:cNvSpPr>
      </xdr:nvSpPr>
      <xdr:spPr bwMode="auto">
        <a:xfrm>
          <a:off x="314324"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1323975</xdr:colOff>
      <xdr:row>1</xdr:row>
      <xdr:rowOff>133350</xdr:rowOff>
    </xdr:from>
    <xdr:to>
      <xdr:col>4</xdr:col>
      <xdr:colOff>912225</xdr:colOff>
      <xdr:row>3</xdr:row>
      <xdr:rowOff>76350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000-000003000000}"/>
            </a:ext>
          </a:extLst>
        </xdr:cNvPr>
        <xdr:cNvSpPr>
          <a:spLocks noChangeArrowheads="1"/>
        </xdr:cNvSpPr>
      </xdr:nvSpPr>
      <xdr:spPr bwMode="auto">
        <a:xfrm>
          <a:off x="3105150"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9525</xdr:colOff>
      <xdr:row>14</xdr:row>
      <xdr:rowOff>76200</xdr:rowOff>
    </xdr:from>
    <xdr:ext cx="396000" cy="396000"/>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3152775"/>
          <a:ext cx="396000" cy="396000"/>
        </a:xfrm>
        <a:prstGeom prst="rect">
          <a:avLst/>
        </a:prstGeom>
      </xdr:spPr>
    </xdr:pic>
    <xdr:clientData/>
  </xdr:oneCellAnchor>
  <xdr:twoCellAnchor editAs="oneCell">
    <xdr:from>
      <xdr:col>1</xdr:col>
      <xdr:colOff>28575</xdr:colOff>
      <xdr:row>34</xdr:row>
      <xdr:rowOff>76200</xdr:rowOff>
    </xdr:from>
    <xdr:to>
      <xdr:col>1</xdr:col>
      <xdr:colOff>388575</xdr:colOff>
      <xdr:row>36</xdr:row>
      <xdr:rowOff>93300</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572375"/>
          <a:ext cx="360000" cy="360000"/>
        </a:xfrm>
        <a:prstGeom prst="rect">
          <a:avLst/>
        </a:prstGeom>
      </xdr:spPr>
    </xdr:pic>
    <xdr:clientData/>
  </xdr:twoCellAnchor>
  <xdr:oneCellAnchor>
    <xdr:from>
      <xdr:col>1</xdr:col>
      <xdr:colOff>38100</xdr:colOff>
      <xdr:row>43</xdr:row>
      <xdr:rowOff>180975</xdr:rowOff>
    </xdr:from>
    <xdr:ext cx="360000" cy="360000"/>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9620250"/>
          <a:ext cx="360000" cy="360000"/>
        </a:xfrm>
        <a:prstGeom prst="rect">
          <a:avLst/>
        </a:prstGeom>
      </xdr:spPr>
    </xdr:pic>
    <xdr:clientData/>
  </xdr:oneCellAnchor>
  <xdr:twoCellAnchor>
    <xdr:from>
      <xdr:col>7</xdr:col>
      <xdr:colOff>209550</xdr:colOff>
      <xdr:row>1</xdr:row>
      <xdr:rowOff>114300</xdr:rowOff>
    </xdr:from>
    <xdr:to>
      <xdr:col>7</xdr:col>
      <xdr:colOff>655950</xdr:colOff>
      <xdr:row>3</xdr:row>
      <xdr:rowOff>85725</xdr:rowOff>
    </xdr:to>
    <xdr:sp macro="" textlink="">
      <xdr:nvSpPr>
        <xdr:cNvPr id="8" name="Up Arrow 7">
          <a:hlinkClick xmlns:r="http://schemas.openxmlformats.org/officeDocument/2006/relationships" r:id="rId6" tooltip="Back to top"/>
          <a:extLst>
            <a:ext uri="{FF2B5EF4-FFF2-40B4-BE49-F238E27FC236}">
              <a16:creationId xmlns:a16="http://schemas.microsoft.com/office/drawing/2014/main" id="{00000000-0008-0000-2000-000008000000}"/>
            </a:ext>
          </a:extLst>
        </xdr:cNvPr>
        <xdr:cNvSpPr/>
      </xdr:nvSpPr>
      <xdr:spPr>
        <a:xfrm>
          <a:off x="8496300" y="409575"/>
          <a:ext cx="4464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68</xdr:row>
      <xdr:rowOff>180975</xdr:rowOff>
    </xdr:from>
    <xdr:ext cx="360000" cy="360000"/>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12096750"/>
          <a:ext cx="360000" cy="360000"/>
        </a:xfrm>
        <a:prstGeom prst="rect">
          <a:avLst/>
        </a:prstGeom>
      </xdr:spPr>
    </xdr:pic>
    <xdr:clientData/>
  </xdr:oneCellAnchor>
  <xdr:oneCellAnchor>
    <xdr:from>
      <xdr:col>1</xdr:col>
      <xdr:colOff>38100</xdr:colOff>
      <xdr:row>36</xdr:row>
      <xdr:rowOff>180975</xdr:rowOff>
    </xdr:from>
    <xdr:ext cx="360000" cy="360000"/>
    <xdr:pic>
      <xdr:nvPicPr>
        <xdr:cNvPr id="10" name="Picture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7972425"/>
          <a:ext cx="360000" cy="360000"/>
        </a:xfrm>
        <a:prstGeom prst="rect">
          <a:avLst/>
        </a:prstGeom>
      </xdr:spPr>
    </xdr:pic>
    <xdr:clientData/>
  </xdr:oneCellAnchor>
  <xdr:twoCellAnchor editAs="oneCell">
    <xdr:from>
      <xdr:col>1</xdr:col>
      <xdr:colOff>28575</xdr:colOff>
      <xdr:row>22</xdr:row>
      <xdr:rowOff>66675</xdr:rowOff>
    </xdr:from>
    <xdr:to>
      <xdr:col>1</xdr:col>
      <xdr:colOff>388575</xdr:colOff>
      <xdr:row>23</xdr:row>
      <xdr:rowOff>102825</xdr:rowOff>
    </xdr:to>
    <xdr:pic>
      <xdr:nvPicPr>
        <xdr:cNvPr id="11" name="Picture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5362575"/>
          <a:ext cx="360000" cy="36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431625</xdr:colOff>
      <xdr:row>3</xdr:row>
      <xdr:rowOff>57301</xdr:rowOff>
    </xdr:to>
    <xdr:sp macro="" textlink="">
      <xdr:nvSpPr>
        <xdr:cNvPr id="4" name="Rectangle à coins arrondis 2">
          <a:hlinkClick xmlns:r="http://schemas.openxmlformats.org/officeDocument/2006/relationships" r:id="rId1" tooltip="Back to H&amp;C"/>
          <a:extLst>
            <a:ext uri="{FF2B5EF4-FFF2-40B4-BE49-F238E27FC236}">
              <a16:creationId xmlns:a16="http://schemas.microsoft.com/office/drawing/2014/main" id="{00000000-0008-0000-2100-000004000000}"/>
            </a:ext>
          </a:extLst>
        </xdr:cNvPr>
        <xdr:cNvSpPr>
          <a:spLocks noChangeArrowheads="1"/>
        </xdr:cNvSpPr>
      </xdr:nvSpPr>
      <xdr:spPr bwMode="auto">
        <a:xfrm>
          <a:off x="57150" y="409576"/>
          <a:ext cx="188895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523875</xdr:colOff>
      <xdr:row>1</xdr:row>
      <xdr:rowOff>114300</xdr:rowOff>
    </xdr:from>
    <xdr:to>
      <xdr:col>3</xdr:col>
      <xdr:colOff>780675</xdr:colOff>
      <xdr:row>3</xdr:row>
      <xdr:rowOff>57300</xdr:rowOff>
    </xdr:to>
    <xdr:sp macro="" textlink="">
      <xdr:nvSpPr>
        <xdr:cNvPr id="5" name="Rectangle à coins arrondis 4">
          <a:hlinkClick xmlns:r="http://schemas.openxmlformats.org/officeDocument/2006/relationships" r:id="rId2" tooltip="Scorecard"/>
          <a:extLst>
            <a:ext uri="{FF2B5EF4-FFF2-40B4-BE49-F238E27FC236}">
              <a16:creationId xmlns:a16="http://schemas.microsoft.com/office/drawing/2014/main" id="{00000000-0008-0000-2100-000005000000}"/>
            </a:ext>
          </a:extLst>
        </xdr:cNvPr>
        <xdr:cNvSpPr>
          <a:spLocks noChangeArrowheads="1"/>
        </xdr:cNvSpPr>
      </xdr:nvSpPr>
      <xdr:spPr bwMode="auto">
        <a:xfrm>
          <a:off x="2038350"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600075</xdr:colOff>
      <xdr:row>1</xdr:row>
      <xdr:rowOff>142875</xdr:rowOff>
    </xdr:from>
    <xdr:to>
      <xdr:col>5</xdr:col>
      <xdr:colOff>235350</xdr:colOff>
      <xdr:row>3</xdr:row>
      <xdr:rowOff>49875</xdr:rowOff>
    </xdr:to>
    <xdr:sp macro="" textlink="">
      <xdr:nvSpPr>
        <xdr:cNvPr id="6" name="Rectangle à coins arrondis 2">
          <a:hlinkClick xmlns:r="http://schemas.openxmlformats.org/officeDocument/2006/relationships" r:id="rId3" tooltip="Strategy A"/>
          <a:extLst>
            <a:ext uri="{FF2B5EF4-FFF2-40B4-BE49-F238E27FC236}">
              <a16:creationId xmlns:a16="http://schemas.microsoft.com/office/drawing/2014/main" id="{00000000-0008-0000-2100-000006000000}"/>
            </a:ext>
          </a:extLst>
        </xdr:cNvPr>
        <xdr:cNvSpPr>
          <a:spLocks noChangeArrowheads="1"/>
        </xdr:cNvSpPr>
      </xdr:nvSpPr>
      <xdr:spPr bwMode="auto">
        <a:xfrm>
          <a:off x="456247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266700</xdr:colOff>
      <xdr:row>1</xdr:row>
      <xdr:rowOff>142875</xdr:rowOff>
    </xdr:from>
    <xdr:to>
      <xdr:col>5</xdr:col>
      <xdr:colOff>1130700</xdr:colOff>
      <xdr:row>3</xdr:row>
      <xdr:rowOff>49875</xdr:rowOff>
    </xdr:to>
    <xdr:sp macro="" textlink="">
      <xdr:nvSpPr>
        <xdr:cNvPr id="7" name="Rectangle à coins arrondis 2">
          <a:hlinkClick xmlns:r="http://schemas.openxmlformats.org/officeDocument/2006/relationships" r:id="rId4" tooltip="Strategy B"/>
          <a:extLst>
            <a:ext uri="{FF2B5EF4-FFF2-40B4-BE49-F238E27FC236}">
              <a16:creationId xmlns:a16="http://schemas.microsoft.com/office/drawing/2014/main" id="{00000000-0008-0000-2100-000007000000}"/>
            </a:ext>
          </a:extLst>
        </xdr:cNvPr>
        <xdr:cNvSpPr>
          <a:spLocks noChangeArrowheads="1"/>
        </xdr:cNvSpPr>
      </xdr:nvSpPr>
      <xdr:spPr bwMode="auto">
        <a:xfrm>
          <a:off x="545782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142875</xdr:rowOff>
    </xdr:from>
    <xdr:to>
      <xdr:col>6</xdr:col>
      <xdr:colOff>797324</xdr:colOff>
      <xdr:row>3</xdr:row>
      <xdr:rowOff>49875</xdr:rowOff>
    </xdr:to>
    <xdr:sp macro="" textlink="">
      <xdr:nvSpPr>
        <xdr:cNvPr id="8" name="Rectangle à coins arrondis 2">
          <a:hlinkClick xmlns:r="http://schemas.openxmlformats.org/officeDocument/2006/relationships" r:id="rId5" tooltip="Strategy C"/>
          <a:extLst>
            <a:ext uri="{FF2B5EF4-FFF2-40B4-BE49-F238E27FC236}">
              <a16:creationId xmlns:a16="http://schemas.microsoft.com/office/drawing/2014/main" id="{00000000-0008-0000-2100-000008000000}"/>
            </a:ext>
          </a:extLst>
        </xdr:cNvPr>
        <xdr:cNvSpPr>
          <a:spLocks noChangeArrowheads="1"/>
        </xdr:cNvSpPr>
      </xdr:nvSpPr>
      <xdr:spPr bwMode="auto">
        <a:xfrm>
          <a:off x="63531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828674</xdr:colOff>
      <xdr:row>1</xdr:row>
      <xdr:rowOff>142875</xdr:rowOff>
    </xdr:from>
    <xdr:to>
      <xdr:col>7</xdr:col>
      <xdr:colOff>397274</xdr:colOff>
      <xdr:row>3</xdr:row>
      <xdr:rowOff>49875</xdr:rowOff>
    </xdr:to>
    <xdr:sp macro="" textlink="">
      <xdr:nvSpPr>
        <xdr:cNvPr id="9" name="Rectangle à coins arrondis 2">
          <a:hlinkClick xmlns:r="http://schemas.openxmlformats.org/officeDocument/2006/relationships" r:id="rId6" tooltip="Strategy D"/>
          <a:extLst>
            <a:ext uri="{FF2B5EF4-FFF2-40B4-BE49-F238E27FC236}">
              <a16:creationId xmlns:a16="http://schemas.microsoft.com/office/drawing/2014/main" id="{00000000-0008-0000-2100-000009000000}"/>
            </a:ext>
          </a:extLst>
        </xdr:cNvPr>
        <xdr:cNvSpPr>
          <a:spLocks noChangeArrowheads="1"/>
        </xdr:cNvSpPr>
      </xdr:nvSpPr>
      <xdr:spPr bwMode="auto">
        <a:xfrm>
          <a:off x="724852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9525</xdr:colOff>
      <xdr:row>39</xdr:row>
      <xdr:rowOff>66675</xdr:rowOff>
    </xdr:from>
    <xdr:to>
      <xdr:col>1</xdr:col>
      <xdr:colOff>405525</xdr:colOff>
      <xdr:row>41</xdr:row>
      <xdr:rowOff>110250</xdr:rowOff>
    </xdr:to>
    <xdr:pic>
      <xdr:nvPicPr>
        <xdr:cNvPr id="10" name="Picture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7381875"/>
          <a:ext cx="396000" cy="396000"/>
        </a:xfrm>
        <a:prstGeom prst="rect">
          <a:avLst/>
        </a:prstGeom>
      </xdr:spPr>
    </xdr:pic>
    <xdr:clientData/>
  </xdr:twoCellAnchor>
  <xdr:twoCellAnchor editAs="oneCell">
    <xdr:from>
      <xdr:col>1</xdr:col>
      <xdr:colOff>28575</xdr:colOff>
      <xdr:row>41</xdr:row>
      <xdr:rowOff>161925</xdr:rowOff>
    </xdr:from>
    <xdr:to>
      <xdr:col>1</xdr:col>
      <xdr:colOff>388575</xdr:colOff>
      <xdr:row>43</xdr:row>
      <xdr:rowOff>102825</xdr:rowOff>
    </xdr:to>
    <xdr:pic>
      <xdr:nvPicPr>
        <xdr:cNvPr id="11" name="Picture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4724400"/>
          <a:ext cx="360000" cy="360000"/>
        </a:xfrm>
        <a:prstGeom prst="rect">
          <a:avLst/>
        </a:prstGeom>
      </xdr:spPr>
    </xdr:pic>
    <xdr:clientData/>
  </xdr:twoCellAnchor>
  <xdr:oneCellAnchor>
    <xdr:from>
      <xdr:col>1</xdr:col>
      <xdr:colOff>38100</xdr:colOff>
      <xdr:row>43</xdr:row>
      <xdr:rowOff>152400</xdr:rowOff>
    </xdr:from>
    <xdr:ext cx="360000" cy="360000"/>
    <xdr:pic>
      <xdr:nvPicPr>
        <xdr:cNvPr id="12" name="Picture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5133975"/>
          <a:ext cx="360000" cy="360000"/>
        </a:xfrm>
        <a:prstGeom prst="rect">
          <a:avLst/>
        </a:prstGeom>
      </xdr:spPr>
    </xdr:pic>
    <xdr:clientData/>
  </xdr:oneCellAnchor>
  <xdr:oneCellAnchor>
    <xdr:from>
      <xdr:col>1</xdr:col>
      <xdr:colOff>28575</xdr:colOff>
      <xdr:row>29</xdr:row>
      <xdr:rowOff>142875</xdr:rowOff>
    </xdr:from>
    <xdr:ext cx="502046" cy="504000"/>
    <xdr:pic>
      <xdr:nvPicPr>
        <xdr:cNvPr id="14" name="Picture 1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7705725"/>
          <a:ext cx="502046" cy="504000"/>
        </a:xfrm>
        <a:prstGeom prst="rect">
          <a:avLst/>
        </a:prstGeom>
      </xdr:spPr>
    </xdr:pic>
    <xdr:clientData/>
  </xdr:oneCellAnchor>
  <xdr:oneCellAnchor>
    <xdr:from>
      <xdr:col>1</xdr:col>
      <xdr:colOff>9525</xdr:colOff>
      <xdr:row>145</xdr:row>
      <xdr:rowOff>85725</xdr:rowOff>
    </xdr:from>
    <xdr:ext cx="396000" cy="396000"/>
    <xdr:pic>
      <xdr:nvPicPr>
        <xdr:cNvPr id="16" name="Picture 15">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23879175"/>
          <a:ext cx="396000" cy="396000"/>
        </a:xfrm>
        <a:prstGeom prst="rect">
          <a:avLst/>
        </a:prstGeom>
      </xdr:spPr>
    </xdr:pic>
    <xdr:clientData/>
  </xdr:oneCellAnchor>
  <xdr:oneCellAnchor>
    <xdr:from>
      <xdr:col>1</xdr:col>
      <xdr:colOff>19050</xdr:colOff>
      <xdr:row>147</xdr:row>
      <xdr:rowOff>142875</xdr:rowOff>
    </xdr:from>
    <xdr:ext cx="394466" cy="396000"/>
    <xdr:pic>
      <xdr:nvPicPr>
        <xdr:cNvPr id="17" name="Picture 16">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24603075"/>
          <a:ext cx="394466" cy="396000"/>
        </a:xfrm>
        <a:prstGeom prst="rect">
          <a:avLst/>
        </a:prstGeom>
      </xdr:spPr>
    </xdr:pic>
    <xdr:clientData/>
  </xdr:oneCellAnchor>
  <xdr:oneCellAnchor>
    <xdr:from>
      <xdr:col>1</xdr:col>
      <xdr:colOff>38100</xdr:colOff>
      <xdr:row>149</xdr:row>
      <xdr:rowOff>161925</xdr:rowOff>
    </xdr:from>
    <xdr:ext cx="360000" cy="360000"/>
    <xdr:pic>
      <xdr:nvPicPr>
        <xdr:cNvPr id="18" name="Picture 17">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25041225"/>
          <a:ext cx="360000" cy="360000"/>
        </a:xfrm>
        <a:prstGeom prst="rect">
          <a:avLst/>
        </a:prstGeom>
      </xdr:spPr>
    </xdr:pic>
    <xdr:clientData/>
  </xdr:oneCellAnchor>
  <xdr:oneCellAnchor>
    <xdr:from>
      <xdr:col>1</xdr:col>
      <xdr:colOff>0</xdr:colOff>
      <xdr:row>74</xdr:row>
      <xdr:rowOff>47625</xdr:rowOff>
    </xdr:from>
    <xdr:ext cx="396000" cy="396000"/>
    <xdr:pic>
      <xdr:nvPicPr>
        <xdr:cNvPr id="19" name="Picture 18">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14335125"/>
          <a:ext cx="396000" cy="396000"/>
        </a:xfrm>
        <a:prstGeom prst="rect">
          <a:avLst/>
        </a:prstGeom>
      </xdr:spPr>
    </xdr:pic>
    <xdr:clientData/>
  </xdr:oneCellAnchor>
  <xdr:oneCellAnchor>
    <xdr:from>
      <xdr:col>1</xdr:col>
      <xdr:colOff>28575</xdr:colOff>
      <xdr:row>76</xdr:row>
      <xdr:rowOff>161925</xdr:rowOff>
    </xdr:from>
    <xdr:ext cx="360000" cy="360000"/>
    <xdr:pic>
      <xdr:nvPicPr>
        <xdr:cNvPr id="21" name="Picture 20">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17945100"/>
          <a:ext cx="360000" cy="360000"/>
        </a:xfrm>
        <a:prstGeom prst="rect">
          <a:avLst/>
        </a:prstGeom>
      </xdr:spPr>
    </xdr:pic>
    <xdr:clientData/>
  </xdr:oneCellAnchor>
  <xdr:oneCellAnchor>
    <xdr:from>
      <xdr:col>1</xdr:col>
      <xdr:colOff>9525</xdr:colOff>
      <xdr:row>107</xdr:row>
      <xdr:rowOff>57150</xdr:rowOff>
    </xdr:from>
    <xdr:ext cx="396000" cy="396000"/>
    <xdr:pic>
      <xdr:nvPicPr>
        <xdr:cNvPr id="22" name="Picture 21">
          <a:extLst>
            <a:ext uri="{FF2B5EF4-FFF2-40B4-BE49-F238E27FC236}">
              <a16:creationId xmlns:a16="http://schemas.microsoft.com/office/drawing/2014/main" id="{00000000-0008-0000-21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12963525"/>
          <a:ext cx="396000" cy="396000"/>
        </a:xfrm>
        <a:prstGeom prst="rect">
          <a:avLst/>
        </a:prstGeom>
      </xdr:spPr>
    </xdr:pic>
    <xdr:clientData/>
  </xdr:oneCellAnchor>
  <xdr:oneCellAnchor>
    <xdr:from>
      <xdr:col>1</xdr:col>
      <xdr:colOff>28575</xdr:colOff>
      <xdr:row>110</xdr:row>
      <xdr:rowOff>9525</xdr:rowOff>
    </xdr:from>
    <xdr:ext cx="360000" cy="360000"/>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5803225"/>
          <a:ext cx="360000" cy="360000"/>
        </a:xfrm>
        <a:prstGeom prst="rect">
          <a:avLst/>
        </a:prstGeom>
      </xdr:spPr>
    </xdr:pic>
    <xdr:clientData/>
  </xdr:oneCellAnchor>
  <xdr:oneCellAnchor>
    <xdr:from>
      <xdr:col>1</xdr:col>
      <xdr:colOff>38100</xdr:colOff>
      <xdr:row>114</xdr:row>
      <xdr:rowOff>152400</xdr:rowOff>
    </xdr:from>
    <xdr:ext cx="360000" cy="360000"/>
    <xdr:pic>
      <xdr:nvPicPr>
        <xdr:cNvPr id="24" name="Picture 23">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13820775"/>
          <a:ext cx="360000" cy="360000"/>
        </a:xfrm>
        <a:prstGeom prst="rect">
          <a:avLst/>
        </a:prstGeom>
      </xdr:spPr>
    </xdr:pic>
    <xdr:clientData/>
  </xdr:oneCellAnchor>
  <xdr:twoCellAnchor>
    <xdr:from>
      <xdr:col>7</xdr:col>
      <xdr:colOff>1390650</xdr:colOff>
      <xdr:row>1</xdr:row>
      <xdr:rowOff>114300</xdr:rowOff>
    </xdr:from>
    <xdr:to>
      <xdr:col>8</xdr:col>
      <xdr:colOff>361950</xdr:colOff>
      <xdr:row>3</xdr:row>
      <xdr:rowOff>85725</xdr:rowOff>
    </xdr:to>
    <xdr:sp macro="" textlink="">
      <xdr:nvSpPr>
        <xdr:cNvPr id="25" name="Up Arrow 24">
          <a:hlinkClick xmlns:r="http://schemas.openxmlformats.org/officeDocument/2006/relationships" r:id="rId11" tooltip="Back to top"/>
          <a:extLst>
            <a:ext uri="{FF2B5EF4-FFF2-40B4-BE49-F238E27FC236}">
              <a16:creationId xmlns:a16="http://schemas.microsoft.com/office/drawing/2014/main" id="{00000000-0008-0000-2100-000019000000}"/>
            </a:ext>
          </a:extLst>
        </xdr:cNvPr>
        <xdr:cNvSpPr/>
      </xdr:nvSpPr>
      <xdr:spPr>
        <a:xfrm>
          <a:off x="9105900" y="4381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923925</xdr:colOff>
      <xdr:row>1</xdr:row>
      <xdr:rowOff>142875</xdr:rowOff>
    </xdr:from>
    <xdr:to>
      <xdr:col>4</xdr:col>
      <xdr:colOff>559200</xdr:colOff>
      <xdr:row>3</xdr:row>
      <xdr:rowOff>49875</xdr:rowOff>
    </xdr:to>
    <xdr:sp macro="" textlink="">
      <xdr:nvSpPr>
        <xdr:cNvPr id="26" name="Rectangle à coins arrondis 2">
          <a:hlinkClick xmlns:r="http://schemas.openxmlformats.org/officeDocument/2006/relationships" r:id="rId12" tooltip="Glossary of the credit"/>
          <a:extLst>
            <a:ext uri="{FF2B5EF4-FFF2-40B4-BE49-F238E27FC236}">
              <a16:creationId xmlns:a16="http://schemas.microsoft.com/office/drawing/2014/main" id="{00000000-0008-0000-2100-00001A000000}"/>
            </a:ext>
          </a:extLst>
        </xdr:cNvPr>
        <xdr:cNvSpPr>
          <a:spLocks noChangeArrowheads="1"/>
        </xdr:cNvSpPr>
      </xdr:nvSpPr>
      <xdr:spPr bwMode="auto">
        <a:xfrm>
          <a:off x="3657600"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7</xdr:col>
      <xdr:colOff>428624</xdr:colOff>
      <xdr:row>1</xdr:row>
      <xdr:rowOff>142875</xdr:rowOff>
    </xdr:from>
    <xdr:to>
      <xdr:col>7</xdr:col>
      <xdr:colOff>1292624</xdr:colOff>
      <xdr:row>3</xdr:row>
      <xdr:rowOff>49875</xdr:rowOff>
    </xdr:to>
    <xdr:sp macro="" textlink="">
      <xdr:nvSpPr>
        <xdr:cNvPr id="31" name="Rectangle à coins arrondis 2">
          <a:hlinkClick xmlns:r="http://schemas.openxmlformats.org/officeDocument/2006/relationships" r:id="rId13" tooltip="Strategy E"/>
          <a:extLst>
            <a:ext uri="{FF2B5EF4-FFF2-40B4-BE49-F238E27FC236}">
              <a16:creationId xmlns:a16="http://schemas.microsoft.com/office/drawing/2014/main" id="{00000000-0008-0000-2100-00001F000000}"/>
            </a:ext>
          </a:extLst>
        </xdr:cNvPr>
        <xdr:cNvSpPr>
          <a:spLocks noChangeArrowheads="1"/>
        </xdr:cNvSpPr>
      </xdr:nvSpPr>
      <xdr:spPr bwMode="auto">
        <a:xfrm>
          <a:off x="81438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19050</xdr:colOff>
      <xdr:row>22</xdr:row>
      <xdr:rowOff>123825</xdr:rowOff>
    </xdr:from>
    <xdr:to>
      <xdr:col>1</xdr:col>
      <xdr:colOff>521096</xdr:colOff>
      <xdr:row>23</xdr:row>
      <xdr:rowOff>132525</xdr:rowOff>
    </xdr:to>
    <xdr:pic>
      <xdr:nvPicPr>
        <xdr:cNvPr id="32" name="Picture 31">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325" y="5695950"/>
          <a:ext cx="502046" cy="504000"/>
        </a:xfrm>
        <a:prstGeom prst="rect">
          <a:avLst/>
        </a:prstGeom>
      </xdr:spPr>
    </xdr:pic>
    <xdr:clientData/>
  </xdr:twoCellAnchor>
  <xdr:oneCellAnchor>
    <xdr:from>
      <xdr:col>1</xdr:col>
      <xdr:colOff>9525</xdr:colOff>
      <xdr:row>180</xdr:row>
      <xdr:rowOff>57150</xdr:rowOff>
    </xdr:from>
    <xdr:ext cx="396000" cy="396000"/>
    <xdr:pic>
      <xdr:nvPicPr>
        <xdr:cNvPr id="33" name="Picture 32">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39233475"/>
          <a:ext cx="396000" cy="396000"/>
        </a:xfrm>
        <a:prstGeom prst="rect">
          <a:avLst/>
        </a:prstGeom>
      </xdr:spPr>
    </xdr:pic>
    <xdr:clientData/>
  </xdr:oneCellAnchor>
  <xdr:oneCellAnchor>
    <xdr:from>
      <xdr:col>1</xdr:col>
      <xdr:colOff>47625</xdr:colOff>
      <xdr:row>182</xdr:row>
      <xdr:rowOff>200025</xdr:rowOff>
    </xdr:from>
    <xdr:ext cx="360000" cy="360000"/>
    <xdr:pic>
      <xdr:nvPicPr>
        <xdr:cNvPr id="34" name="Picture 33">
          <a:extLst>
            <a:ext uri="{FF2B5EF4-FFF2-40B4-BE49-F238E27FC236}">
              <a16:creationId xmlns:a16="http://schemas.microsoft.com/office/drawing/2014/main" id="{00000000-0008-0000-21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39747825"/>
          <a:ext cx="360000" cy="360000"/>
        </a:xfrm>
        <a:prstGeom prst="rect">
          <a:avLst/>
        </a:prstGeom>
      </xdr:spPr>
    </xdr:pic>
    <xdr:clientData/>
  </xdr:oneCellAnchor>
  <xdr:oneCellAnchor>
    <xdr:from>
      <xdr:col>1</xdr:col>
      <xdr:colOff>38100</xdr:colOff>
      <xdr:row>185</xdr:row>
      <xdr:rowOff>47625</xdr:rowOff>
    </xdr:from>
    <xdr:ext cx="360000" cy="360000"/>
    <xdr:pic>
      <xdr:nvPicPr>
        <xdr:cNvPr id="35" name="Picture 34">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40214550"/>
          <a:ext cx="360000" cy="360000"/>
        </a:xfrm>
        <a:prstGeom prst="rect">
          <a:avLst/>
        </a:prstGeom>
      </xdr:spPr>
    </xdr:pic>
    <xdr:clientData/>
  </xdr:oneCellAnchor>
  <xdr:oneCellAnchor>
    <xdr:from>
      <xdr:col>1</xdr:col>
      <xdr:colOff>38100</xdr:colOff>
      <xdr:row>112</xdr:row>
      <xdr:rowOff>85725</xdr:rowOff>
    </xdr:from>
    <xdr:ext cx="360000" cy="360000"/>
    <xdr:pic>
      <xdr:nvPicPr>
        <xdr:cNvPr id="28" name="Picture 27">
          <a:extLst>
            <a:ext uri="{FF2B5EF4-FFF2-40B4-BE49-F238E27FC236}">
              <a16:creationId xmlns:a16="http://schemas.microsoft.com/office/drawing/2014/main" id="{63D3DF77-5D4A-44FE-841D-30330BFDA5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26260425"/>
          <a:ext cx="360000" cy="36000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200-000002000000}"/>
            </a:ext>
          </a:extLst>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352425</xdr:colOff>
      <xdr:row>1</xdr:row>
      <xdr:rowOff>114300</xdr:rowOff>
    </xdr:from>
    <xdr:to>
      <xdr:col>5</xdr:col>
      <xdr:colOff>54975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200-000003000000}"/>
            </a:ext>
          </a:extLst>
        </xdr:cNvPr>
        <xdr:cNvSpPr>
          <a:spLocks noChangeArrowheads="1"/>
        </xdr:cNvSpPr>
      </xdr:nvSpPr>
      <xdr:spPr bwMode="auto">
        <a:xfrm>
          <a:off x="3114675"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17</xdr:row>
      <xdr:rowOff>76200</xdr:rowOff>
    </xdr:from>
    <xdr:to>
      <xdr:col>1</xdr:col>
      <xdr:colOff>489150</xdr:colOff>
      <xdr:row>19</xdr:row>
      <xdr:rowOff>127200</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3619500"/>
          <a:ext cx="432000" cy="432000"/>
        </a:xfrm>
        <a:prstGeom prst="rect">
          <a:avLst/>
        </a:prstGeom>
      </xdr:spPr>
    </xdr:pic>
    <xdr:clientData/>
  </xdr:twoCellAnchor>
  <xdr:twoCellAnchor editAs="oneCell">
    <xdr:from>
      <xdr:col>1</xdr:col>
      <xdr:colOff>38100</xdr:colOff>
      <xdr:row>21</xdr:row>
      <xdr:rowOff>161925</xdr:rowOff>
    </xdr:from>
    <xdr:to>
      <xdr:col>1</xdr:col>
      <xdr:colOff>398100</xdr:colOff>
      <xdr:row>23</xdr:row>
      <xdr:rowOff>64725</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76725"/>
          <a:ext cx="360000" cy="360000"/>
        </a:xfrm>
        <a:prstGeom prst="rect">
          <a:avLst/>
        </a:prstGeom>
      </xdr:spPr>
    </xdr:pic>
    <xdr:clientData/>
  </xdr:twoCellAnchor>
  <xdr:twoCellAnchor editAs="oneCell">
    <xdr:from>
      <xdr:col>1</xdr:col>
      <xdr:colOff>38100</xdr:colOff>
      <xdr:row>14</xdr:row>
      <xdr:rowOff>85725</xdr:rowOff>
    </xdr:from>
    <xdr:to>
      <xdr:col>1</xdr:col>
      <xdr:colOff>398100</xdr:colOff>
      <xdr:row>16</xdr:row>
      <xdr:rowOff>102825</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3124200"/>
          <a:ext cx="360000" cy="360000"/>
        </a:xfrm>
        <a:prstGeom prst="rect">
          <a:avLst/>
        </a:prstGeom>
      </xdr:spPr>
    </xdr:pic>
    <xdr:clientData/>
  </xdr:twoCellAnchor>
  <xdr:twoCellAnchor>
    <xdr:from>
      <xdr:col>7</xdr:col>
      <xdr:colOff>485775</xdr:colOff>
      <xdr:row>1</xdr:row>
      <xdr:rowOff>104775</xdr:rowOff>
    </xdr:from>
    <xdr:to>
      <xdr:col>7</xdr:col>
      <xdr:colOff>933450</xdr:colOff>
      <xdr:row>3</xdr:row>
      <xdr:rowOff>76200</xdr:rowOff>
    </xdr:to>
    <xdr:sp macro="" textlink="">
      <xdr:nvSpPr>
        <xdr:cNvPr id="7" name="Up Arrow 6">
          <a:hlinkClick xmlns:r="http://schemas.openxmlformats.org/officeDocument/2006/relationships" r:id="rId5" tooltip="Back to top"/>
          <a:extLst>
            <a:ext uri="{FF2B5EF4-FFF2-40B4-BE49-F238E27FC236}">
              <a16:creationId xmlns:a16="http://schemas.microsoft.com/office/drawing/2014/main" id="{00000000-0008-0000-2200-000007000000}"/>
            </a:ext>
          </a:extLst>
        </xdr:cNvPr>
        <xdr:cNvSpPr/>
      </xdr:nvSpPr>
      <xdr:spPr>
        <a:xfrm>
          <a:off x="83820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352424</xdr:colOff>
      <xdr:row>1</xdr:row>
      <xdr:rowOff>123826</xdr:rowOff>
    </xdr:from>
    <xdr:to>
      <xdr:col>2</xdr:col>
      <xdr:colOff>816974</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300-000002000000}"/>
            </a:ext>
          </a:extLst>
        </xdr:cNvPr>
        <xdr:cNvSpPr>
          <a:spLocks noChangeArrowheads="1"/>
        </xdr:cNvSpPr>
      </xdr:nvSpPr>
      <xdr:spPr bwMode="auto">
        <a:xfrm>
          <a:off x="352424"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19050</xdr:colOff>
      <xdr:row>1</xdr:row>
      <xdr:rowOff>114300</xdr:rowOff>
    </xdr:from>
    <xdr:to>
      <xdr:col>4</xdr:col>
      <xdr:colOff>770325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300-000003000000}"/>
            </a:ext>
          </a:extLst>
        </xdr:cNvPr>
        <xdr:cNvSpPr>
          <a:spLocks noChangeArrowheads="1"/>
        </xdr:cNvSpPr>
      </xdr:nvSpPr>
      <xdr:spPr bwMode="auto">
        <a:xfrm>
          <a:off x="3038475"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14</xdr:row>
      <xdr:rowOff>66675</xdr:rowOff>
    </xdr:from>
    <xdr:to>
      <xdr:col>1</xdr:col>
      <xdr:colOff>396000</xdr:colOff>
      <xdr:row>16</xdr:row>
      <xdr:rowOff>119775</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19450"/>
          <a:ext cx="396000" cy="396000"/>
        </a:xfrm>
        <a:prstGeom prst="rect">
          <a:avLst/>
        </a:prstGeom>
      </xdr:spPr>
    </xdr:pic>
    <xdr:clientData/>
  </xdr:twoCellAnchor>
  <xdr:twoCellAnchor editAs="oneCell">
    <xdr:from>
      <xdr:col>1</xdr:col>
      <xdr:colOff>28575</xdr:colOff>
      <xdr:row>19</xdr:row>
      <xdr:rowOff>57150</xdr:rowOff>
    </xdr:from>
    <xdr:to>
      <xdr:col>1</xdr:col>
      <xdr:colOff>530621</xdr:colOff>
      <xdr:row>21</xdr:row>
      <xdr:rowOff>180150</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4162425"/>
          <a:ext cx="502046" cy="504000"/>
        </a:xfrm>
        <a:prstGeom prst="rect">
          <a:avLst/>
        </a:prstGeom>
      </xdr:spPr>
    </xdr:pic>
    <xdr:clientData/>
  </xdr:twoCellAnchor>
  <xdr:twoCellAnchor editAs="oneCell">
    <xdr:from>
      <xdr:col>1</xdr:col>
      <xdr:colOff>28575</xdr:colOff>
      <xdr:row>25</xdr:row>
      <xdr:rowOff>104775</xdr:rowOff>
    </xdr:from>
    <xdr:to>
      <xdr:col>1</xdr:col>
      <xdr:colOff>388575</xdr:colOff>
      <xdr:row>27</xdr:row>
      <xdr:rowOff>83775</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5353050"/>
          <a:ext cx="360000" cy="360000"/>
        </a:xfrm>
        <a:prstGeom prst="rect">
          <a:avLst/>
        </a:prstGeom>
      </xdr:spPr>
    </xdr:pic>
    <xdr:clientData/>
  </xdr:twoCellAnchor>
  <xdr:twoCellAnchor>
    <xdr:from>
      <xdr:col>7</xdr:col>
      <xdr:colOff>66675</xdr:colOff>
      <xdr:row>1</xdr:row>
      <xdr:rowOff>104775</xdr:rowOff>
    </xdr:from>
    <xdr:to>
      <xdr:col>7</xdr:col>
      <xdr:colOff>514350</xdr:colOff>
      <xdr:row>3</xdr:row>
      <xdr:rowOff>76200</xdr:rowOff>
    </xdr:to>
    <xdr:sp macro="" textlink="">
      <xdr:nvSpPr>
        <xdr:cNvPr id="8" name="Up Arrow 7">
          <a:hlinkClick xmlns:r="http://schemas.openxmlformats.org/officeDocument/2006/relationships" r:id="rId6" tooltip="Back to top"/>
          <a:extLst>
            <a:ext uri="{FF2B5EF4-FFF2-40B4-BE49-F238E27FC236}">
              <a16:creationId xmlns:a16="http://schemas.microsoft.com/office/drawing/2014/main" id="{00000000-0008-0000-2300-000008000000}"/>
            </a:ext>
          </a:extLst>
        </xdr:cNvPr>
        <xdr:cNvSpPr/>
      </xdr:nvSpPr>
      <xdr:spPr>
        <a:xfrm>
          <a:off x="82772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561975</xdr:colOff>
      <xdr:row>121</xdr:row>
      <xdr:rowOff>133350</xdr:rowOff>
    </xdr:from>
    <xdr:to>
      <xdr:col>17</xdr:col>
      <xdr:colOff>0</xdr:colOff>
      <xdr:row>124</xdr:row>
      <xdr:rowOff>57150</xdr:rowOff>
    </xdr:to>
    <xdr:sp macro="" textlink="">
      <xdr:nvSpPr>
        <xdr:cNvPr id="17" name="Rectangle à coins arrondis 2">
          <a:hlinkClick xmlns:r="http://schemas.openxmlformats.org/officeDocument/2006/relationships" r:id="rId1" tooltip="Resources"/>
          <a:extLst>
            <a:ext uri="{FF2B5EF4-FFF2-40B4-BE49-F238E27FC236}">
              <a16:creationId xmlns:a16="http://schemas.microsoft.com/office/drawing/2014/main" id="{00000000-0008-0000-2400-000011000000}"/>
            </a:ext>
          </a:extLst>
        </xdr:cNvPr>
        <xdr:cNvSpPr>
          <a:spLocks noChangeArrowheads="1"/>
        </xdr:cNvSpPr>
      </xdr:nvSpPr>
      <xdr:spPr bwMode="auto">
        <a:xfrm>
          <a:off x="7981950" y="6315075"/>
          <a:ext cx="3619500" cy="4953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 in the daylight factor calculation</a:t>
          </a:r>
        </a:p>
      </xdr:txBody>
    </xdr:sp>
    <xdr:clientData/>
  </xdr:twoCellAnchor>
  <xdr:twoCellAnchor>
    <xdr:from>
      <xdr:col>0</xdr:col>
      <xdr:colOff>314325</xdr:colOff>
      <xdr:row>1</xdr:row>
      <xdr:rowOff>123826</xdr:rowOff>
    </xdr:from>
    <xdr:to>
      <xdr:col>3</xdr:col>
      <xdr:colOff>45450</xdr:colOff>
      <xdr:row>3</xdr:row>
      <xdr:rowOff>66826</xdr:rowOff>
    </xdr:to>
    <xdr:sp macro="" textlink="">
      <xdr:nvSpPr>
        <xdr:cNvPr id="6" name="Rectangle à coins arrondis 2">
          <a:hlinkClick xmlns:r="http://schemas.openxmlformats.org/officeDocument/2006/relationships" r:id="rId2" tooltip="Back to H&amp;C"/>
          <a:extLst>
            <a:ext uri="{FF2B5EF4-FFF2-40B4-BE49-F238E27FC236}">
              <a16:creationId xmlns:a16="http://schemas.microsoft.com/office/drawing/2014/main" id="{00000000-0008-0000-2400-000006000000}"/>
            </a:ext>
          </a:extLst>
        </xdr:cNvPr>
        <xdr:cNvSpPr>
          <a:spLocks noChangeArrowheads="1"/>
        </xdr:cNvSpPr>
      </xdr:nvSpPr>
      <xdr:spPr bwMode="auto">
        <a:xfrm>
          <a:off x="314325" y="419101"/>
          <a:ext cx="2150475"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542925</xdr:colOff>
      <xdr:row>1</xdr:row>
      <xdr:rowOff>114300</xdr:rowOff>
    </xdr:from>
    <xdr:to>
      <xdr:col>6</xdr:col>
      <xdr:colOff>255000</xdr:colOff>
      <xdr:row>3</xdr:row>
      <xdr:rowOff>57300</xdr:rowOff>
    </xdr:to>
    <xdr:sp macro="" textlink="">
      <xdr:nvSpPr>
        <xdr:cNvPr id="7" name="Rectangle à coins arrondis 2">
          <a:hlinkClick xmlns:r="http://schemas.openxmlformats.org/officeDocument/2006/relationships" r:id="rId3" tooltip="Scorecard"/>
          <a:extLst>
            <a:ext uri="{FF2B5EF4-FFF2-40B4-BE49-F238E27FC236}">
              <a16:creationId xmlns:a16="http://schemas.microsoft.com/office/drawing/2014/main" id="{00000000-0008-0000-2400-000007000000}"/>
            </a:ext>
          </a:extLst>
        </xdr:cNvPr>
        <xdr:cNvSpPr>
          <a:spLocks noChangeArrowheads="1"/>
        </xdr:cNvSpPr>
      </xdr:nvSpPr>
      <xdr:spPr bwMode="auto">
        <a:xfrm>
          <a:off x="2962275"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110</xdr:row>
      <xdr:rowOff>95250</xdr:rowOff>
    </xdr:from>
    <xdr:to>
      <xdr:col>1</xdr:col>
      <xdr:colOff>424575</xdr:colOff>
      <xdr:row>112</xdr:row>
      <xdr:rowOff>110250</xdr:rowOff>
    </xdr:to>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381375"/>
          <a:ext cx="396000" cy="396000"/>
        </a:xfrm>
        <a:prstGeom prst="rect">
          <a:avLst/>
        </a:prstGeom>
      </xdr:spPr>
    </xdr:pic>
    <xdr:clientData/>
  </xdr:twoCellAnchor>
  <xdr:twoCellAnchor editAs="oneCell">
    <xdr:from>
      <xdr:col>1</xdr:col>
      <xdr:colOff>28575</xdr:colOff>
      <xdr:row>118</xdr:row>
      <xdr:rowOff>123825</xdr:rowOff>
    </xdr:from>
    <xdr:to>
      <xdr:col>1</xdr:col>
      <xdr:colOff>388575</xdr:colOff>
      <xdr:row>120</xdr:row>
      <xdr:rowOff>83775</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5962650"/>
          <a:ext cx="360000" cy="360000"/>
        </a:xfrm>
        <a:prstGeom prst="rect">
          <a:avLst/>
        </a:prstGeom>
      </xdr:spPr>
    </xdr:pic>
    <xdr:clientData/>
  </xdr:twoCellAnchor>
  <xdr:twoCellAnchor>
    <xdr:from>
      <xdr:col>12</xdr:col>
      <xdr:colOff>95250</xdr:colOff>
      <xdr:row>1</xdr:row>
      <xdr:rowOff>114300</xdr:rowOff>
    </xdr:from>
    <xdr:to>
      <xdr:col>12</xdr:col>
      <xdr:colOff>542925</xdr:colOff>
      <xdr:row>3</xdr:row>
      <xdr:rowOff>85725</xdr:rowOff>
    </xdr:to>
    <xdr:sp macro="" textlink="">
      <xdr:nvSpPr>
        <xdr:cNvPr id="11" name="Up Arrow 10">
          <a:hlinkClick xmlns:r="http://schemas.openxmlformats.org/officeDocument/2006/relationships" r:id="rId6" tooltip="Back to top"/>
          <a:extLst>
            <a:ext uri="{FF2B5EF4-FFF2-40B4-BE49-F238E27FC236}">
              <a16:creationId xmlns:a16="http://schemas.microsoft.com/office/drawing/2014/main" id="{00000000-0008-0000-2400-00000B000000}"/>
            </a:ext>
          </a:extLst>
        </xdr:cNvPr>
        <xdr:cNvSpPr/>
      </xdr:nvSpPr>
      <xdr:spPr>
        <a:xfrm>
          <a:off x="8743950" y="40957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38100</xdr:colOff>
      <xdr:row>120</xdr:row>
      <xdr:rowOff>123825</xdr:rowOff>
    </xdr:from>
    <xdr:to>
      <xdr:col>1</xdr:col>
      <xdr:colOff>398100</xdr:colOff>
      <xdr:row>122</xdr:row>
      <xdr:rowOff>93300</xdr:rowOff>
    </xdr:to>
    <xdr:pic>
      <xdr:nvPicPr>
        <xdr:cNvPr id="10" name="Picture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6153150"/>
          <a:ext cx="360000" cy="360000"/>
        </a:xfrm>
        <a:prstGeom prst="rect">
          <a:avLst/>
        </a:prstGeom>
      </xdr:spPr>
    </xdr:pic>
    <xdr:clientData/>
  </xdr:twoCellAnchor>
  <xdr:twoCellAnchor>
    <xdr:from>
      <xdr:col>8</xdr:col>
      <xdr:colOff>504824</xdr:colOff>
      <xdr:row>5</xdr:row>
      <xdr:rowOff>57150</xdr:rowOff>
    </xdr:from>
    <xdr:to>
      <xdr:col>10</xdr:col>
      <xdr:colOff>439874</xdr:colOff>
      <xdr:row>6</xdr:row>
      <xdr:rowOff>78450</xdr:rowOff>
    </xdr:to>
    <xdr:sp macro="" textlink="">
      <xdr:nvSpPr>
        <xdr:cNvPr id="12" name="Rectangle à coins arrondis 2">
          <a:hlinkClick xmlns:r="http://schemas.openxmlformats.org/officeDocument/2006/relationships" r:id="rId8" tooltip="Prescriptive Path"/>
          <a:extLst>
            <a:ext uri="{FF2B5EF4-FFF2-40B4-BE49-F238E27FC236}">
              <a16:creationId xmlns:a16="http://schemas.microsoft.com/office/drawing/2014/main" id="{00000000-0008-0000-2400-00000C000000}"/>
            </a:ext>
          </a:extLst>
        </xdr:cNvPr>
        <xdr:cNvSpPr>
          <a:spLocks noChangeArrowheads="1"/>
        </xdr:cNvSpPr>
      </xdr:nvSpPr>
      <xdr:spPr bwMode="auto">
        <a:xfrm>
          <a:off x="6610349" y="1190625"/>
          <a:ext cx="13638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11</xdr:col>
      <xdr:colOff>28575</xdr:colOff>
      <xdr:row>5</xdr:row>
      <xdr:rowOff>57150</xdr:rowOff>
    </xdr:from>
    <xdr:to>
      <xdr:col>13</xdr:col>
      <xdr:colOff>306525</xdr:colOff>
      <xdr:row>6</xdr:row>
      <xdr:rowOff>78450</xdr:rowOff>
    </xdr:to>
    <xdr:sp macro="" textlink="">
      <xdr:nvSpPr>
        <xdr:cNvPr id="13" name="Rectangle à coins arrondis 2">
          <a:hlinkClick xmlns:r="http://schemas.openxmlformats.org/officeDocument/2006/relationships" r:id="rId9" tooltip="Performance Path"/>
          <a:extLst>
            <a:ext uri="{FF2B5EF4-FFF2-40B4-BE49-F238E27FC236}">
              <a16:creationId xmlns:a16="http://schemas.microsoft.com/office/drawing/2014/main" id="{00000000-0008-0000-2400-00000D000000}"/>
            </a:ext>
          </a:extLst>
        </xdr:cNvPr>
        <xdr:cNvSpPr>
          <a:spLocks noChangeArrowheads="1"/>
        </xdr:cNvSpPr>
      </xdr:nvSpPr>
      <xdr:spPr bwMode="auto">
        <a:xfrm>
          <a:off x="8210550" y="1190625"/>
          <a:ext cx="1440000" cy="288000"/>
        </a:xfrm>
        <a:prstGeom prst="roundRect">
          <a:avLst>
            <a:gd name="adj" fmla="val 16667"/>
          </a:avLst>
        </a:prstGeom>
        <a:solidFill>
          <a:schemeClr val="accent2">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7</xdr:col>
      <xdr:colOff>485775</xdr:colOff>
      <xdr:row>5</xdr:row>
      <xdr:rowOff>66675</xdr:rowOff>
    </xdr:from>
    <xdr:to>
      <xdr:col>8</xdr:col>
      <xdr:colOff>298650</xdr:colOff>
      <xdr:row>6</xdr:row>
      <xdr:rowOff>87975</xdr:rowOff>
    </xdr:to>
    <xdr:sp macro="" textlink="">
      <xdr:nvSpPr>
        <xdr:cNvPr id="14" name="Flèche droite 7">
          <a:extLst>
            <a:ext uri="{FF2B5EF4-FFF2-40B4-BE49-F238E27FC236}">
              <a16:creationId xmlns:a16="http://schemas.microsoft.com/office/drawing/2014/main" id="{00000000-0008-0000-2400-00000E000000}"/>
            </a:ext>
          </a:extLst>
        </xdr:cNvPr>
        <xdr:cNvSpPr/>
      </xdr:nvSpPr>
      <xdr:spPr>
        <a:xfrm>
          <a:off x="5972175" y="1200150"/>
          <a:ext cx="432000" cy="288000"/>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57150</xdr:colOff>
      <xdr:row>25</xdr:row>
      <xdr:rowOff>0</xdr:rowOff>
    </xdr:from>
    <xdr:to>
      <xdr:col>1</xdr:col>
      <xdr:colOff>525150</xdr:colOff>
      <xdr:row>27</xdr:row>
      <xdr:rowOff>87000</xdr:rowOff>
    </xdr:to>
    <xdr:pic>
      <xdr:nvPicPr>
        <xdr:cNvPr id="15" name="Picture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4800" y="5229225"/>
          <a:ext cx="468000" cy="468000"/>
        </a:xfrm>
        <a:prstGeom prst="rect">
          <a:avLst/>
        </a:prstGeom>
      </xdr:spPr>
    </xdr:pic>
    <xdr:clientData/>
  </xdr:twoCellAnchor>
  <xdr:twoCellAnchor editAs="oneCell">
    <xdr:from>
      <xdr:col>1</xdr:col>
      <xdr:colOff>133355</xdr:colOff>
      <xdr:row>43</xdr:row>
      <xdr:rowOff>57161</xdr:rowOff>
    </xdr:from>
    <xdr:to>
      <xdr:col>4</xdr:col>
      <xdr:colOff>634353</xdr:colOff>
      <xdr:row>55</xdr:row>
      <xdr:rowOff>72402</xdr:rowOff>
    </xdr:to>
    <xdr:pic>
      <xdr:nvPicPr>
        <xdr:cNvPr id="16" name="Picture 15" descr="\\VGBC_NAS\VGBC_Network\VGBC Shared\LOTUS\LOTUS Homes\3. Credits\sidelit daylit zone.png">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705" r="3301" b="3965"/>
        <a:stretch/>
      </xdr:blipFill>
      <xdr:spPr bwMode="auto">
        <a:xfrm>
          <a:off x="381005" y="8772536"/>
          <a:ext cx="3558523" cy="2529841"/>
        </a:xfrm>
        <a:prstGeom prst="rect">
          <a:avLst/>
        </a:prstGeom>
        <a:noFill/>
        <a:ln>
          <a:noFill/>
        </a:ln>
      </xdr:spPr>
    </xdr:pic>
    <xdr:clientData/>
  </xdr:twoCellAnchor>
  <xdr:twoCellAnchor editAs="oneCell">
    <xdr:from>
      <xdr:col>5</xdr:col>
      <xdr:colOff>409575</xdr:colOff>
      <xdr:row>45</xdr:row>
      <xdr:rowOff>47625</xdr:rowOff>
    </xdr:from>
    <xdr:to>
      <xdr:col>10</xdr:col>
      <xdr:colOff>611264</xdr:colOff>
      <xdr:row>65</xdr:row>
      <xdr:rowOff>102147</xdr:rowOff>
    </xdr:to>
    <xdr:pic>
      <xdr:nvPicPr>
        <xdr:cNvPr id="18" name="Picture 17" descr="\\VGBC_NAS\VGBC_Network\VGBC Shared\LOTUS\LOTUS Homes\3. Credits\skylit daylit zone.png">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10" t="5252" r="49541" b="1655"/>
        <a:stretch/>
      </xdr:blipFill>
      <xdr:spPr bwMode="auto">
        <a:xfrm>
          <a:off x="4657725" y="8820150"/>
          <a:ext cx="3487814" cy="43026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9525</xdr:colOff>
      <xdr:row>45</xdr:row>
      <xdr:rowOff>38100</xdr:rowOff>
    </xdr:from>
    <xdr:to>
      <xdr:col>17</xdr:col>
      <xdr:colOff>323850</xdr:colOff>
      <xdr:row>65</xdr:row>
      <xdr:rowOff>114218</xdr:rowOff>
    </xdr:to>
    <xdr:pic>
      <xdr:nvPicPr>
        <xdr:cNvPr id="19" name="Picture 18" descr="C:\Users\phong.vu\Desktop\skylit daylit zone.png">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54175" t="4535" r="-1" b="1900"/>
        <a:stretch/>
      </xdr:blipFill>
      <xdr:spPr bwMode="auto">
        <a:xfrm>
          <a:off x="8772525" y="8810625"/>
          <a:ext cx="3238500" cy="432426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47625</xdr:colOff>
      <xdr:row>34</xdr:row>
      <xdr:rowOff>123825</xdr:rowOff>
    </xdr:from>
    <xdr:to>
      <xdr:col>1</xdr:col>
      <xdr:colOff>477951</xdr:colOff>
      <xdr:row>36</xdr:row>
      <xdr:rowOff>136725</xdr:rowOff>
    </xdr:to>
    <xdr:pic>
      <xdr:nvPicPr>
        <xdr:cNvPr id="20" name="Picture 19">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95275" y="7143750"/>
          <a:ext cx="430326" cy="432000"/>
        </a:xfrm>
        <a:prstGeom prst="rect">
          <a:avLst/>
        </a:prstGeom>
      </xdr:spPr>
    </xdr:pic>
    <xdr:clientData/>
  </xdr:twoCellAnchor>
  <xdr:oneCellAnchor>
    <xdr:from>
      <xdr:col>1</xdr:col>
      <xdr:colOff>28575</xdr:colOff>
      <xdr:row>69</xdr:row>
      <xdr:rowOff>104775</xdr:rowOff>
    </xdr:from>
    <xdr:ext cx="360000" cy="360000"/>
    <xdr:pic>
      <xdr:nvPicPr>
        <xdr:cNvPr id="21" name="Picture 20">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14249400"/>
          <a:ext cx="360000" cy="360000"/>
        </a:xfrm>
        <a:prstGeom prst="rect">
          <a:avLst/>
        </a:prstGeom>
      </xdr:spPr>
    </xdr:pic>
    <xdr:clientData/>
  </xdr:oneCellAnchor>
  <xdr:oneCellAnchor>
    <xdr:from>
      <xdr:col>1</xdr:col>
      <xdr:colOff>66675</xdr:colOff>
      <xdr:row>32</xdr:row>
      <xdr:rowOff>76200</xdr:rowOff>
    </xdr:from>
    <xdr:ext cx="396000" cy="396000"/>
    <xdr:pic>
      <xdr:nvPicPr>
        <xdr:cNvPr id="22" name="Picture 21">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6715125"/>
          <a:ext cx="396000" cy="396000"/>
        </a:xfrm>
        <a:prstGeom prst="rect">
          <a:avLst/>
        </a:prstGeom>
      </xdr:spPr>
    </xdr:pic>
    <xdr:clientData/>
  </xdr:oneCellAnchor>
  <xdr:twoCellAnchor editAs="oneCell">
    <xdr:from>
      <xdr:col>1</xdr:col>
      <xdr:colOff>28575</xdr:colOff>
      <xdr:row>71</xdr:row>
      <xdr:rowOff>133350</xdr:rowOff>
    </xdr:from>
    <xdr:to>
      <xdr:col>1</xdr:col>
      <xdr:colOff>388575</xdr:colOff>
      <xdr:row>73</xdr:row>
      <xdr:rowOff>74250</xdr:rowOff>
    </xdr:to>
    <xdr:pic>
      <xdr:nvPicPr>
        <xdr:cNvPr id="23" name="Picture 22">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4335125"/>
          <a:ext cx="360000" cy="312375"/>
        </a:xfrm>
        <a:prstGeom prst="rect">
          <a:avLst/>
        </a:prstGeom>
      </xdr:spPr>
    </xdr:pic>
    <xdr:clientData/>
  </xdr:twoCellAnchor>
  <xdr:twoCellAnchor editAs="oneCell">
    <xdr:from>
      <xdr:col>1</xdr:col>
      <xdr:colOff>19050</xdr:colOff>
      <xdr:row>113</xdr:row>
      <xdr:rowOff>66675</xdr:rowOff>
    </xdr:from>
    <xdr:to>
      <xdr:col>1</xdr:col>
      <xdr:colOff>449376</xdr:colOff>
      <xdr:row>115</xdr:row>
      <xdr:rowOff>117675</xdr:rowOff>
    </xdr:to>
    <xdr:pic>
      <xdr:nvPicPr>
        <xdr:cNvPr id="24" name="Picture 23">
          <a:extLst>
            <a:ext uri="{FF2B5EF4-FFF2-40B4-BE49-F238E27FC236}">
              <a16:creationId xmlns:a16="http://schemas.microsoft.com/office/drawing/2014/main" id="{00000000-0008-0000-24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2900" y="22231350"/>
          <a:ext cx="430326" cy="432000"/>
        </a:xfrm>
        <a:prstGeom prst="rect">
          <a:avLst/>
        </a:prstGeom>
      </xdr:spPr>
    </xdr:pic>
    <xdr:clientData/>
  </xdr:twoCellAnchor>
  <xdr:twoCellAnchor editAs="oneCell">
    <xdr:from>
      <xdr:col>0</xdr:col>
      <xdr:colOff>314324</xdr:colOff>
      <xdr:row>19</xdr:row>
      <xdr:rowOff>209549</xdr:rowOff>
    </xdr:from>
    <xdr:to>
      <xdr:col>1</xdr:col>
      <xdr:colOff>386474</xdr:colOff>
      <xdr:row>20</xdr:row>
      <xdr:rowOff>395999</xdr:rowOff>
    </xdr:to>
    <xdr:pic>
      <xdr:nvPicPr>
        <xdr:cNvPr id="26" name="Picture 25">
          <a:extLst>
            <a:ext uri="{FF2B5EF4-FFF2-40B4-BE49-F238E27FC236}">
              <a16:creationId xmlns:a16="http://schemas.microsoft.com/office/drawing/2014/main" id="{A23EAC81-7BB3-49D2-ABCA-1A1566CD87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4" y="4800599"/>
          <a:ext cx="396000" cy="396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371475</xdr:colOff>
      <xdr:row>1</xdr:row>
      <xdr:rowOff>123826</xdr:rowOff>
    </xdr:from>
    <xdr:to>
      <xdr:col>2</xdr:col>
      <xdr:colOff>902700</xdr:colOff>
      <xdr:row>3</xdr:row>
      <xdr:rowOff>66826</xdr:rowOff>
    </xdr:to>
    <xdr:sp macro="" textlink="">
      <xdr:nvSpPr>
        <xdr:cNvPr id="3" name="Rectangle à coins arrondis 2">
          <a:hlinkClick xmlns:r="http://schemas.openxmlformats.org/officeDocument/2006/relationships" r:id="rId1" tooltip="Back to H&amp;C"/>
          <a:extLst>
            <a:ext uri="{FF2B5EF4-FFF2-40B4-BE49-F238E27FC236}">
              <a16:creationId xmlns:a16="http://schemas.microsoft.com/office/drawing/2014/main" id="{00000000-0008-0000-2500-000003000000}"/>
            </a:ext>
          </a:extLst>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1114424</xdr:colOff>
      <xdr:row>1</xdr:row>
      <xdr:rowOff>114300</xdr:rowOff>
    </xdr:from>
    <xdr:to>
      <xdr:col>4</xdr:col>
      <xdr:colOff>628650</xdr:colOff>
      <xdr:row>3</xdr:row>
      <xdr:rowOff>57300</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2500-000004000000}"/>
            </a:ext>
          </a:extLst>
        </xdr:cNvPr>
        <xdr:cNvSpPr>
          <a:spLocks noChangeArrowheads="1"/>
        </xdr:cNvSpPr>
      </xdr:nvSpPr>
      <xdr:spPr bwMode="auto">
        <a:xfrm>
          <a:off x="2743199" y="438150"/>
          <a:ext cx="1743076"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85725</xdr:colOff>
      <xdr:row>1</xdr:row>
      <xdr:rowOff>142875</xdr:rowOff>
    </xdr:from>
    <xdr:to>
      <xdr:col>5</xdr:col>
      <xdr:colOff>1285875</xdr:colOff>
      <xdr:row>3</xdr:row>
      <xdr:rowOff>49875</xdr:rowOff>
    </xdr:to>
    <xdr:sp macro="" textlink="">
      <xdr:nvSpPr>
        <xdr:cNvPr id="8" name="Rectangle à coins arrondis 2">
          <a:hlinkClick xmlns:r="http://schemas.openxmlformats.org/officeDocument/2006/relationships" r:id="rId3" tooltip="Strategy A"/>
          <a:extLst>
            <a:ext uri="{FF2B5EF4-FFF2-40B4-BE49-F238E27FC236}">
              <a16:creationId xmlns:a16="http://schemas.microsoft.com/office/drawing/2014/main" id="{00000000-0008-0000-2500-000008000000}"/>
            </a:ext>
          </a:extLst>
        </xdr:cNvPr>
        <xdr:cNvSpPr>
          <a:spLocks noChangeArrowheads="1"/>
        </xdr:cNvSpPr>
      </xdr:nvSpPr>
      <xdr:spPr bwMode="auto">
        <a:xfrm>
          <a:off x="5362575" y="466725"/>
          <a:ext cx="120015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1495424</xdr:colOff>
      <xdr:row>1</xdr:row>
      <xdr:rowOff>142875</xdr:rowOff>
    </xdr:from>
    <xdr:to>
      <xdr:col>6</xdr:col>
      <xdr:colOff>1070474</xdr:colOff>
      <xdr:row>3</xdr:row>
      <xdr:rowOff>49875</xdr:rowOff>
    </xdr:to>
    <xdr:sp macro="" textlink="">
      <xdr:nvSpPr>
        <xdr:cNvPr id="9" name="Rectangle à coins arrondis 2">
          <a:hlinkClick xmlns:r="http://schemas.openxmlformats.org/officeDocument/2006/relationships" r:id="rId4" tooltip="Strategy B"/>
          <a:extLst>
            <a:ext uri="{FF2B5EF4-FFF2-40B4-BE49-F238E27FC236}">
              <a16:creationId xmlns:a16="http://schemas.microsoft.com/office/drawing/2014/main" id="{00000000-0008-0000-2500-000009000000}"/>
            </a:ext>
          </a:extLst>
        </xdr:cNvPr>
        <xdr:cNvSpPr>
          <a:spLocks noChangeArrowheads="1"/>
        </xdr:cNvSpPr>
      </xdr:nvSpPr>
      <xdr:spPr bwMode="auto">
        <a:xfrm>
          <a:off x="7029449" y="466725"/>
          <a:ext cx="1260975"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85</xdr:row>
      <xdr:rowOff>104775</xdr:rowOff>
    </xdr:from>
    <xdr:to>
      <xdr:col>1</xdr:col>
      <xdr:colOff>396000</xdr:colOff>
      <xdr:row>87</xdr:row>
      <xdr:rowOff>119775</xdr:rowOff>
    </xdr:to>
    <xdr:pic>
      <xdr:nvPicPr>
        <xdr:cNvPr id="10" name="Picture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0" y="13820775"/>
          <a:ext cx="396000" cy="396000"/>
        </a:xfrm>
        <a:prstGeom prst="rect">
          <a:avLst/>
        </a:prstGeom>
      </xdr:spPr>
    </xdr:pic>
    <xdr:clientData/>
  </xdr:twoCellAnchor>
  <xdr:twoCellAnchor editAs="oneCell">
    <xdr:from>
      <xdr:col>1</xdr:col>
      <xdr:colOff>28575</xdr:colOff>
      <xdr:row>30</xdr:row>
      <xdr:rowOff>38101</xdr:rowOff>
    </xdr:from>
    <xdr:to>
      <xdr:col>1</xdr:col>
      <xdr:colOff>532575</xdr:colOff>
      <xdr:row>32</xdr:row>
      <xdr:rowOff>144012</xdr:rowOff>
    </xdr:to>
    <xdr:pic>
      <xdr:nvPicPr>
        <xdr:cNvPr id="11" name="Picture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5943601"/>
          <a:ext cx="504000" cy="505961"/>
        </a:xfrm>
        <a:prstGeom prst="rect">
          <a:avLst/>
        </a:prstGeom>
      </xdr:spPr>
    </xdr:pic>
    <xdr:clientData/>
  </xdr:twoCellAnchor>
  <xdr:oneCellAnchor>
    <xdr:from>
      <xdr:col>1</xdr:col>
      <xdr:colOff>19050</xdr:colOff>
      <xdr:row>22</xdr:row>
      <xdr:rowOff>104775</xdr:rowOff>
    </xdr:from>
    <xdr:ext cx="396000" cy="396000"/>
    <xdr:pic>
      <xdr:nvPicPr>
        <xdr:cNvPr id="12" name="Picture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4867275"/>
          <a:ext cx="396000" cy="396000"/>
        </a:xfrm>
        <a:prstGeom prst="rect">
          <a:avLst/>
        </a:prstGeom>
      </xdr:spPr>
    </xdr:pic>
    <xdr:clientData/>
  </xdr:oneCellAnchor>
  <xdr:twoCellAnchor editAs="oneCell">
    <xdr:from>
      <xdr:col>1</xdr:col>
      <xdr:colOff>47625</xdr:colOff>
      <xdr:row>25</xdr:row>
      <xdr:rowOff>142875</xdr:rowOff>
    </xdr:from>
    <xdr:to>
      <xdr:col>1</xdr:col>
      <xdr:colOff>551625</xdr:colOff>
      <xdr:row>28</xdr:row>
      <xdr:rowOff>75375</xdr:rowOff>
    </xdr:to>
    <xdr:pic>
      <xdr:nvPicPr>
        <xdr:cNvPr id="13" name="Picture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5476875"/>
          <a:ext cx="504000" cy="504000"/>
        </a:xfrm>
        <a:prstGeom prst="rect">
          <a:avLst/>
        </a:prstGeom>
      </xdr:spPr>
    </xdr:pic>
    <xdr:clientData/>
  </xdr:twoCellAnchor>
  <xdr:oneCellAnchor>
    <xdr:from>
      <xdr:col>1</xdr:col>
      <xdr:colOff>28575</xdr:colOff>
      <xdr:row>39</xdr:row>
      <xdr:rowOff>123825</xdr:rowOff>
    </xdr:from>
    <xdr:ext cx="360000" cy="360000"/>
    <xdr:pic>
      <xdr:nvPicPr>
        <xdr:cNvPr id="15" name="Picture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7172325"/>
          <a:ext cx="360000" cy="360000"/>
        </a:xfrm>
        <a:prstGeom prst="rect">
          <a:avLst/>
        </a:prstGeom>
      </xdr:spPr>
    </xdr:pic>
    <xdr:clientData/>
  </xdr:oneCellAnchor>
  <xdr:oneCellAnchor>
    <xdr:from>
      <xdr:col>1</xdr:col>
      <xdr:colOff>28575</xdr:colOff>
      <xdr:row>95</xdr:row>
      <xdr:rowOff>123825</xdr:rowOff>
    </xdr:from>
    <xdr:ext cx="360000" cy="360000"/>
    <xdr:pic>
      <xdr:nvPicPr>
        <xdr:cNvPr id="16" name="Picture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7391400"/>
          <a:ext cx="360000" cy="360000"/>
        </a:xfrm>
        <a:prstGeom prst="rect">
          <a:avLst/>
        </a:prstGeom>
      </xdr:spPr>
    </xdr:pic>
    <xdr:clientData/>
  </xdr:oneCellAnchor>
  <xdr:twoCellAnchor>
    <xdr:from>
      <xdr:col>7</xdr:col>
      <xdr:colOff>295275</xdr:colOff>
      <xdr:row>1</xdr:row>
      <xdr:rowOff>104775</xdr:rowOff>
    </xdr:from>
    <xdr:to>
      <xdr:col>7</xdr:col>
      <xdr:colOff>742950</xdr:colOff>
      <xdr:row>3</xdr:row>
      <xdr:rowOff>76200</xdr:rowOff>
    </xdr:to>
    <xdr:sp macro="" textlink="">
      <xdr:nvSpPr>
        <xdr:cNvPr id="14" name="Up Arrow 13">
          <a:hlinkClick xmlns:r="http://schemas.openxmlformats.org/officeDocument/2006/relationships" r:id="rId9" tooltip="Back to top"/>
          <a:extLst>
            <a:ext uri="{FF2B5EF4-FFF2-40B4-BE49-F238E27FC236}">
              <a16:creationId xmlns:a16="http://schemas.microsoft.com/office/drawing/2014/main" id="{00000000-0008-0000-2500-00000E000000}"/>
            </a:ext>
          </a:extLst>
        </xdr:cNvPr>
        <xdr:cNvSpPr/>
      </xdr:nvSpPr>
      <xdr:spPr>
        <a:xfrm>
          <a:off x="81915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47625</xdr:colOff>
      <xdr:row>89</xdr:row>
      <xdr:rowOff>66675</xdr:rowOff>
    </xdr:from>
    <xdr:to>
      <xdr:col>1</xdr:col>
      <xdr:colOff>551625</xdr:colOff>
      <xdr:row>91</xdr:row>
      <xdr:rowOff>189675</xdr:rowOff>
    </xdr:to>
    <xdr:pic>
      <xdr:nvPicPr>
        <xdr:cNvPr id="17" name="Picture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625" y="17402175"/>
          <a:ext cx="504000" cy="504000"/>
        </a:xfrm>
        <a:prstGeom prst="rect">
          <a:avLst/>
        </a:prstGeom>
      </xdr:spPr>
    </xdr:pic>
    <xdr:clientData/>
  </xdr:twoCellAnchor>
  <xdr:twoCellAnchor editAs="oneCell">
    <xdr:from>
      <xdr:col>1</xdr:col>
      <xdr:colOff>28575</xdr:colOff>
      <xdr:row>98</xdr:row>
      <xdr:rowOff>9525</xdr:rowOff>
    </xdr:from>
    <xdr:to>
      <xdr:col>1</xdr:col>
      <xdr:colOff>388575</xdr:colOff>
      <xdr:row>99</xdr:row>
      <xdr:rowOff>121875</xdr:rowOff>
    </xdr:to>
    <xdr:pic>
      <xdr:nvPicPr>
        <xdr:cNvPr id="18" name="Picture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19135725"/>
          <a:ext cx="360000" cy="360000"/>
        </a:xfrm>
        <a:prstGeom prst="rect">
          <a:avLst/>
        </a:prstGeom>
      </xdr:spPr>
    </xdr:pic>
    <xdr:clientData/>
  </xdr:twoCellAnchor>
  <xdr:oneCellAnchor>
    <xdr:from>
      <xdr:col>1</xdr:col>
      <xdr:colOff>66675</xdr:colOff>
      <xdr:row>34</xdr:row>
      <xdr:rowOff>104775</xdr:rowOff>
    </xdr:from>
    <xdr:ext cx="468000" cy="468000"/>
    <xdr:pic>
      <xdr:nvPicPr>
        <xdr:cNvPr id="20" name="Picture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 y="7038975"/>
          <a:ext cx="468000" cy="468000"/>
        </a:xfrm>
        <a:prstGeom prst="rect">
          <a:avLst/>
        </a:prstGeom>
      </xdr:spPr>
    </xdr:pic>
    <xdr:clientData/>
  </xdr:oneCellAnchor>
  <xdr:twoCellAnchor editAs="oneCell">
    <xdr:from>
      <xdr:col>1</xdr:col>
      <xdr:colOff>19050</xdr:colOff>
      <xdr:row>41</xdr:row>
      <xdr:rowOff>161925</xdr:rowOff>
    </xdr:from>
    <xdr:to>
      <xdr:col>1</xdr:col>
      <xdr:colOff>379050</xdr:colOff>
      <xdr:row>43</xdr:row>
      <xdr:rowOff>93300</xdr:rowOff>
    </xdr:to>
    <xdr:pic>
      <xdr:nvPicPr>
        <xdr:cNvPr id="21" name="Picture 20">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0050" y="8534400"/>
          <a:ext cx="360000" cy="360000"/>
        </a:xfrm>
        <a:prstGeom prst="rect">
          <a:avLst/>
        </a:prstGeom>
      </xdr:spPr>
    </xdr:pic>
    <xdr:clientData/>
  </xdr:twoCellAnchor>
  <xdr:oneCellAnchor>
    <xdr:from>
      <xdr:col>1</xdr:col>
      <xdr:colOff>28575</xdr:colOff>
      <xdr:row>100</xdr:row>
      <xdr:rowOff>66675</xdr:rowOff>
    </xdr:from>
    <xdr:ext cx="360000" cy="360000"/>
    <xdr:pic>
      <xdr:nvPicPr>
        <xdr:cNvPr id="22" name="Picture 21">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20821650"/>
          <a:ext cx="360000" cy="360000"/>
        </a:xfrm>
        <a:prstGeom prst="rect">
          <a:avLst/>
        </a:prstGeom>
      </xdr:spPr>
    </xdr:pic>
    <xdr:clientData/>
  </xdr:oneCellAnchor>
  <xdr:twoCellAnchor editAs="oneCell">
    <xdr:from>
      <xdr:col>0</xdr:col>
      <xdr:colOff>266700</xdr:colOff>
      <xdr:row>17</xdr:row>
      <xdr:rowOff>47625</xdr:rowOff>
    </xdr:from>
    <xdr:to>
      <xdr:col>1</xdr:col>
      <xdr:colOff>317700</xdr:colOff>
      <xdr:row>17</xdr:row>
      <xdr:rowOff>479625</xdr:rowOff>
    </xdr:to>
    <xdr:pic>
      <xdr:nvPicPr>
        <xdr:cNvPr id="23" name="Picture 22">
          <a:extLst>
            <a:ext uri="{FF2B5EF4-FFF2-40B4-BE49-F238E27FC236}">
              <a16:creationId xmlns:a16="http://schemas.microsoft.com/office/drawing/2014/main" id="{0BDD2107-2DF6-4734-A163-3442E4B9F89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700" y="4352925"/>
          <a:ext cx="432000" cy="432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352425</xdr:colOff>
      <xdr:row>1</xdr:row>
      <xdr:rowOff>123826</xdr:rowOff>
    </xdr:from>
    <xdr:to>
      <xdr:col>2</xdr:col>
      <xdr:colOff>883650</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600-000002000000}"/>
            </a:ext>
          </a:extLst>
        </xdr:cNvPr>
        <xdr:cNvSpPr>
          <a:spLocks noChangeArrowheads="1"/>
        </xdr:cNvSpPr>
      </xdr:nvSpPr>
      <xdr:spPr bwMode="auto">
        <a:xfrm>
          <a:off x="35242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1228725</xdr:colOff>
      <xdr:row>1</xdr:row>
      <xdr:rowOff>114300</xdr:rowOff>
    </xdr:from>
    <xdr:to>
      <xdr:col>4</xdr:col>
      <xdr:colOff>713175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600-000003000000}"/>
            </a:ext>
          </a:extLst>
        </xdr:cNvPr>
        <xdr:cNvSpPr>
          <a:spLocks noChangeArrowheads="1"/>
        </xdr:cNvSpPr>
      </xdr:nvSpPr>
      <xdr:spPr bwMode="auto">
        <a:xfrm>
          <a:off x="2857500"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7</xdr:col>
      <xdr:colOff>533400</xdr:colOff>
      <xdr:row>1</xdr:row>
      <xdr:rowOff>104775</xdr:rowOff>
    </xdr:from>
    <xdr:to>
      <xdr:col>7</xdr:col>
      <xdr:colOff>981075</xdr:colOff>
      <xdr:row>3</xdr:row>
      <xdr:rowOff>76200</xdr:rowOff>
    </xdr:to>
    <xdr:sp macro="" textlink="">
      <xdr:nvSpPr>
        <xdr:cNvPr id="14" name="Up Arrow 13">
          <a:hlinkClick xmlns:r="http://schemas.openxmlformats.org/officeDocument/2006/relationships" r:id="rId3" tooltip="Back to top"/>
          <a:extLst>
            <a:ext uri="{FF2B5EF4-FFF2-40B4-BE49-F238E27FC236}">
              <a16:creationId xmlns:a16="http://schemas.microsoft.com/office/drawing/2014/main" id="{00000000-0008-0000-2600-00000E000000}"/>
            </a:ext>
          </a:extLst>
        </xdr:cNvPr>
        <xdr:cNvSpPr/>
      </xdr:nvSpPr>
      <xdr:spPr>
        <a:xfrm>
          <a:off x="85058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66675</xdr:colOff>
      <xdr:row>21</xdr:row>
      <xdr:rowOff>0</xdr:rowOff>
    </xdr:from>
    <xdr:ext cx="540000" cy="540000"/>
    <xdr:pic>
      <xdr:nvPicPr>
        <xdr:cNvPr id="15" name="Picture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675" y="7839075"/>
          <a:ext cx="540000" cy="540000"/>
        </a:xfrm>
        <a:prstGeom prst="rect">
          <a:avLst/>
        </a:prstGeom>
      </xdr:spPr>
    </xdr:pic>
    <xdr:clientData/>
  </xdr:oneCellAnchor>
  <xdr:oneCellAnchor>
    <xdr:from>
      <xdr:col>1</xdr:col>
      <xdr:colOff>38100</xdr:colOff>
      <xdr:row>33</xdr:row>
      <xdr:rowOff>123825</xdr:rowOff>
    </xdr:from>
    <xdr:ext cx="360000" cy="360000"/>
    <xdr:pic>
      <xdr:nvPicPr>
        <xdr:cNvPr id="18" name="Picture 17">
          <a:extLst>
            <a:ext uri="{FF2B5EF4-FFF2-40B4-BE49-F238E27FC236}">
              <a16:creationId xmlns:a16="http://schemas.microsoft.com/office/drawing/2014/main" id="{00000000-0008-0000-26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2900" y="7200900"/>
          <a:ext cx="360000" cy="360000"/>
        </a:xfrm>
        <a:prstGeom prst="rect">
          <a:avLst/>
        </a:prstGeom>
      </xdr:spPr>
    </xdr:pic>
    <xdr:clientData/>
  </xdr:oneCellAnchor>
  <xdr:oneCellAnchor>
    <xdr:from>
      <xdr:col>1</xdr:col>
      <xdr:colOff>47625</xdr:colOff>
      <xdr:row>40</xdr:row>
      <xdr:rowOff>123825</xdr:rowOff>
    </xdr:from>
    <xdr:ext cx="360000" cy="360000"/>
    <xdr:pic>
      <xdr:nvPicPr>
        <xdr:cNvPr id="19" name="Picture 18">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8625" y="11287125"/>
          <a:ext cx="360000" cy="360000"/>
        </a:xfrm>
        <a:prstGeom prst="rect">
          <a:avLst/>
        </a:prstGeom>
      </xdr:spPr>
    </xdr:pic>
    <xdr:clientData/>
  </xdr:oneCellAnchor>
  <xdr:oneCellAnchor>
    <xdr:from>
      <xdr:col>1</xdr:col>
      <xdr:colOff>47625</xdr:colOff>
      <xdr:row>70</xdr:row>
      <xdr:rowOff>95250</xdr:rowOff>
    </xdr:from>
    <xdr:ext cx="360000" cy="360000"/>
    <xdr:pic>
      <xdr:nvPicPr>
        <xdr:cNvPr id="17" name="Picture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12363450"/>
          <a:ext cx="360000" cy="360000"/>
        </a:xfrm>
        <a:prstGeom prst="rect">
          <a:avLst/>
        </a:prstGeom>
      </xdr:spPr>
    </xdr:pic>
    <xdr:clientData/>
  </xdr:oneCellAnchor>
  <xdr:oneCellAnchor>
    <xdr:from>
      <xdr:col>1</xdr:col>
      <xdr:colOff>28575</xdr:colOff>
      <xdr:row>44</xdr:row>
      <xdr:rowOff>180975</xdr:rowOff>
    </xdr:from>
    <xdr:ext cx="360000" cy="360000"/>
    <xdr:pic>
      <xdr:nvPicPr>
        <xdr:cNvPr id="20" name="Picture 19">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3375" y="25203150"/>
          <a:ext cx="360000" cy="360000"/>
        </a:xfrm>
        <a:prstGeom prst="rect">
          <a:avLst/>
        </a:prstGeom>
      </xdr:spPr>
    </xdr:pic>
    <xdr:clientData/>
  </xdr:oneCellAnchor>
  <xdr:twoCellAnchor>
    <xdr:from>
      <xdr:col>7</xdr:col>
      <xdr:colOff>866775</xdr:colOff>
      <xdr:row>29</xdr:row>
      <xdr:rowOff>85725</xdr:rowOff>
    </xdr:from>
    <xdr:to>
      <xdr:col>8</xdr:col>
      <xdr:colOff>914400</xdr:colOff>
      <xdr:row>31</xdr:row>
      <xdr:rowOff>19050</xdr:rowOff>
    </xdr:to>
    <xdr:sp macro="" textlink="">
      <xdr:nvSpPr>
        <xdr:cNvPr id="10" name="Rectangle à coins arrondis 2">
          <a:hlinkClick xmlns:r="http://schemas.openxmlformats.org/officeDocument/2006/relationships" r:id="rId6" tooltip="Resources"/>
          <a:extLst>
            <a:ext uri="{FF2B5EF4-FFF2-40B4-BE49-F238E27FC236}">
              <a16:creationId xmlns:a16="http://schemas.microsoft.com/office/drawing/2014/main" id="{00000000-0008-0000-2600-00000A000000}"/>
            </a:ext>
          </a:extLst>
        </xdr:cNvPr>
        <xdr:cNvSpPr>
          <a:spLocks noChangeArrowheads="1"/>
        </xdr:cNvSpPr>
      </xdr:nvSpPr>
      <xdr:spPr bwMode="auto">
        <a:xfrm>
          <a:off x="8839200" y="6105525"/>
          <a:ext cx="1552575" cy="3143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Arial" panose="020B0604020202020204" pitchFamily="34" charset="0"/>
              <a:cs typeface="Arial" panose="020B0604020202020204" pitchFamily="34" charset="0"/>
            </a:rPr>
            <a:t>See Table A-1</a:t>
          </a:r>
          <a:endParaRPr lang="fr-FR" sz="11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285750</xdr:colOff>
      <xdr:row>1</xdr:row>
      <xdr:rowOff>133351</xdr:rowOff>
    </xdr:from>
    <xdr:to>
      <xdr:col>2</xdr:col>
      <xdr:colOff>660225</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700-000002000000}"/>
            </a:ext>
          </a:extLst>
        </xdr:cNvPr>
        <xdr:cNvSpPr>
          <a:spLocks noChangeArrowheads="1"/>
        </xdr:cNvSpPr>
      </xdr:nvSpPr>
      <xdr:spPr bwMode="auto">
        <a:xfrm>
          <a:off x="285750" y="428626"/>
          <a:ext cx="1908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981075</xdr:colOff>
      <xdr:row>1</xdr:row>
      <xdr:rowOff>133350</xdr:rowOff>
    </xdr:from>
    <xdr:to>
      <xdr:col>4</xdr:col>
      <xdr:colOff>333150</xdr:colOff>
      <xdr:row>3</xdr:row>
      <xdr:rowOff>76350</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700-000003000000}"/>
            </a:ext>
          </a:extLst>
        </xdr:cNvPr>
        <xdr:cNvSpPr>
          <a:spLocks noChangeArrowheads="1"/>
        </xdr:cNvSpPr>
      </xdr:nvSpPr>
      <xdr:spPr bwMode="auto">
        <a:xfrm>
          <a:off x="2514600"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876300</xdr:colOff>
      <xdr:row>1</xdr:row>
      <xdr:rowOff>142875</xdr:rowOff>
    </xdr:from>
    <xdr:to>
      <xdr:col>5</xdr:col>
      <xdr:colOff>353850</xdr:colOff>
      <xdr:row>3</xdr:row>
      <xdr:rowOff>49875</xdr:rowOff>
    </xdr:to>
    <xdr:sp macro="" textlink="">
      <xdr:nvSpPr>
        <xdr:cNvPr id="4" name="Rectangle à coins arrondis 2">
          <a:hlinkClick xmlns:r="http://schemas.openxmlformats.org/officeDocument/2006/relationships" r:id="rId3" tooltip="H-BPC-1"/>
          <a:extLst>
            <a:ext uri="{FF2B5EF4-FFF2-40B4-BE49-F238E27FC236}">
              <a16:creationId xmlns:a16="http://schemas.microsoft.com/office/drawing/2014/main" id="{00000000-0008-0000-2700-000004000000}"/>
            </a:ext>
          </a:extLst>
        </xdr:cNvPr>
        <xdr:cNvSpPr>
          <a:spLocks noChangeArrowheads="1"/>
        </xdr:cNvSpPr>
      </xdr:nvSpPr>
      <xdr:spPr bwMode="auto">
        <a:xfrm>
          <a:off x="4857750" y="457200"/>
          <a:ext cx="792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H-BPC-1</a:t>
          </a:r>
        </a:p>
      </xdr:txBody>
    </xdr:sp>
    <xdr:clientData/>
  </xdr:twoCellAnchor>
  <xdr:twoCellAnchor>
    <xdr:from>
      <xdr:col>5</xdr:col>
      <xdr:colOff>447675</xdr:colOff>
      <xdr:row>1</xdr:row>
      <xdr:rowOff>142875</xdr:rowOff>
    </xdr:from>
    <xdr:to>
      <xdr:col>5</xdr:col>
      <xdr:colOff>1239675</xdr:colOff>
      <xdr:row>3</xdr:row>
      <xdr:rowOff>49875</xdr:rowOff>
    </xdr:to>
    <xdr:sp macro="" textlink="">
      <xdr:nvSpPr>
        <xdr:cNvPr id="5" name="Rectangle à coins arrondis 2">
          <a:hlinkClick xmlns:r="http://schemas.openxmlformats.org/officeDocument/2006/relationships" r:id="rId4" tooltip="H-BPC-2"/>
          <a:extLst>
            <a:ext uri="{FF2B5EF4-FFF2-40B4-BE49-F238E27FC236}">
              <a16:creationId xmlns:a16="http://schemas.microsoft.com/office/drawing/2014/main" id="{00000000-0008-0000-2700-000005000000}"/>
            </a:ext>
          </a:extLst>
        </xdr:cNvPr>
        <xdr:cNvSpPr>
          <a:spLocks noChangeArrowheads="1"/>
        </xdr:cNvSpPr>
      </xdr:nvSpPr>
      <xdr:spPr bwMode="auto">
        <a:xfrm>
          <a:off x="5743575" y="457200"/>
          <a:ext cx="792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H-BPC-2</a:t>
          </a:r>
        </a:p>
      </xdr:txBody>
    </xdr:sp>
    <xdr:clientData/>
  </xdr:twoCellAnchor>
  <xdr:twoCellAnchor>
    <xdr:from>
      <xdr:col>6</xdr:col>
      <xdr:colOff>28575</xdr:colOff>
      <xdr:row>1</xdr:row>
      <xdr:rowOff>142875</xdr:rowOff>
    </xdr:from>
    <xdr:to>
      <xdr:col>6</xdr:col>
      <xdr:colOff>820575</xdr:colOff>
      <xdr:row>3</xdr:row>
      <xdr:rowOff>49875</xdr:rowOff>
    </xdr:to>
    <xdr:sp macro="" textlink="">
      <xdr:nvSpPr>
        <xdr:cNvPr id="6" name="Rectangle à coins arrondis 2">
          <a:hlinkClick xmlns:r="http://schemas.openxmlformats.org/officeDocument/2006/relationships" r:id="rId5" tooltip="H-BPC-3"/>
          <a:extLst>
            <a:ext uri="{FF2B5EF4-FFF2-40B4-BE49-F238E27FC236}">
              <a16:creationId xmlns:a16="http://schemas.microsoft.com/office/drawing/2014/main" id="{00000000-0008-0000-2700-000006000000}"/>
            </a:ext>
          </a:extLst>
        </xdr:cNvPr>
        <xdr:cNvSpPr>
          <a:spLocks noChangeArrowheads="1"/>
        </xdr:cNvSpPr>
      </xdr:nvSpPr>
      <xdr:spPr bwMode="auto">
        <a:xfrm>
          <a:off x="6610350" y="457200"/>
          <a:ext cx="792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H-BPC-3</a:t>
          </a:r>
        </a:p>
      </xdr:txBody>
    </xdr:sp>
    <xdr:clientData/>
  </xdr:twoCellAnchor>
  <xdr:twoCellAnchor editAs="oneCell">
    <xdr:from>
      <xdr:col>1</xdr:col>
      <xdr:colOff>38100</xdr:colOff>
      <xdr:row>192</xdr:row>
      <xdr:rowOff>114300</xdr:rowOff>
    </xdr:from>
    <xdr:to>
      <xdr:col>1</xdr:col>
      <xdr:colOff>398100</xdr:colOff>
      <xdr:row>194</xdr:row>
      <xdr:rowOff>93300</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314950"/>
          <a:ext cx="360000" cy="360000"/>
        </a:xfrm>
        <a:prstGeom prst="rect">
          <a:avLst/>
        </a:prstGeom>
      </xdr:spPr>
    </xdr:pic>
    <xdr:clientData/>
  </xdr:twoCellAnchor>
  <xdr:oneCellAnchor>
    <xdr:from>
      <xdr:col>1</xdr:col>
      <xdr:colOff>28575</xdr:colOff>
      <xdr:row>212</xdr:row>
      <xdr:rowOff>133350</xdr:rowOff>
    </xdr:from>
    <xdr:ext cx="360000" cy="360000"/>
    <xdr:pic>
      <xdr:nvPicPr>
        <xdr:cNvPr id="8" name="Picture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0096500"/>
          <a:ext cx="360000" cy="360000"/>
        </a:xfrm>
        <a:prstGeom prst="rect">
          <a:avLst/>
        </a:prstGeom>
      </xdr:spPr>
    </xdr:pic>
    <xdr:clientData/>
  </xdr:oneCellAnchor>
  <xdr:twoCellAnchor editAs="oneCell">
    <xdr:from>
      <xdr:col>1</xdr:col>
      <xdr:colOff>76200</xdr:colOff>
      <xdr:row>324</xdr:row>
      <xdr:rowOff>95250</xdr:rowOff>
    </xdr:from>
    <xdr:to>
      <xdr:col>1</xdr:col>
      <xdr:colOff>472200</xdr:colOff>
      <xdr:row>326</xdr:row>
      <xdr:rowOff>110250</xdr:rowOff>
    </xdr:to>
    <xdr:pic>
      <xdr:nvPicPr>
        <xdr:cNvPr id="10" name="Picture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60074175"/>
          <a:ext cx="396000" cy="396000"/>
        </a:xfrm>
        <a:prstGeom prst="rect">
          <a:avLst/>
        </a:prstGeom>
      </xdr:spPr>
    </xdr:pic>
    <xdr:clientData/>
  </xdr:twoCellAnchor>
  <xdr:oneCellAnchor>
    <xdr:from>
      <xdr:col>1</xdr:col>
      <xdr:colOff>38100</xdr:colOff>
      <xdr:row>327</xdr:row>
      <xdr:rowOff>114300</xdr:rowOff>
    </xdr:from>
    <xdr:ext cx="360000" cy="360000"/>
    <xdr:pic>
      <xdr:nvPicPr>
        <xdr:cNvPr id="11" name="Picture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28489275"/>
          <a:ext cx="360000" cy="360000"/>
        </a:xfrm>
        <a:prstGeom prst="rect">
          <a:avLst/>
        </a:prstGeom>
      </xdr:spPr>
    </xdr:pic>
    <xdr:clientData/>
  </xdr:oneCellAnchor>
  <xdr:twoCellAnchor>
    <xdr:from>
      <xdr:col>7</xdr:col>
      <xdr:colOff>1114424</xdr:colOff>
      <xdr:row>1</xdr:row>
      <xdr:rowOff>114300</xdr:rowOff>
    </xdr:from>
    <xdr:to>
      <xdr:col>8</xdr:col>
      <xdr:colOff>365324</xdr:colOff>
      <xdr:row>3</xdr:row>
      <xdr:rowOff>85725</xdr:rowOff>
    </xdr:to>
    <xdr:sp macro="" textlink="">
      <xdr:nvSpPr>
        <xdr:cNvPr id="12" name="Up Arrow 11">
          <a:hlinkClick xmlns:r="http://schemas.openxmlformats.org/officeDocument/2006/relationships" r:id="rId9" tooltip="Back to top"/>
          <a:extLst>
            <a:ext uri="{FF2B5EF4-FFF2-40B4-BE49-F238E27FC236}">
              <a16:creationId xmlns:a16="http://schemas.microsoft.com/office/drawing/2014/main" id="{00000000-0008-0000-2700-00000C000000}"/>
            </a:ext>
          </a:extLst>
        </xdr:cNvPr>
        <xdr:cNvSpPr/>
      </xdr:nvSpPr>
      <xdr:spPr>
        <a:xfrm>
          <a:off x="8934449" y="409575"/>
          <a:ext cx="432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19050</xdr:colOff>
      <xdr:row>194</xdr:row>
      <xdr:rowOff>133350</xdr:rowOff>
    </xdr:from>
    <xdr:ext cx="394466" cy="396000"/>
    <xdr:pic>
      <xdr:nvPicPr>
        <xdr:cNvPr id="13" name="Picture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3375" y="5715000"/>
          <a:ext cx="394466" cy="396000"/>
        </a:xfrm>
        <a:prstGeom prst="rect">
          <a:avLst/>
        </a:prstGeom>
      </xdr:spPr>
    </xdr:pic>
    <xdr:clientData/>
  </xdr:oneCellAnchor>
  <xdr:oneCellAnchor>
    <xdr:from>
      <xdr:col>1</xdr:col>
      <xdr:colOff>0</xdr:colOff>
      <xdr:row>256</xdr:row>
      <xdr:rowOff>95250</xdr:rowOff>
    </xdr:from>
    <xdr:ext cx="396000" cy="396000"/>
    <xdr:pic>
      <xdr:nvPicPr>
        <xdr:cNvPr id="14" name="Picture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18592800"/>
          <a:ext cx="396000" cy="396000"/>
        </a:xfrm>
        <a:prstGeom prst="rect">
          <a:avLst/>
        </a:prstGeom>
      </xdr:spPr>
    </xdr:pic>
    <xdr:clientData/>
  </xdr:oneCellAnchor>
  <xdr:oneCellAnchor>
    <xdr:from>
      <xdr:col>1</xdr:col>
      <xdr:colOff>38100</xdr:colOff>
      <xdr:row>258</xdr:row>
      <xdr:rowOff>161925</xdr:rowOff>
    </xdr:from>
    <xdr:ext cx="360000" cy="360000"/>
    <xdr:pic>
      <xdr:nvPicPr>
        <xdr:cNvPr id="15" name="Picture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9040475"/>
          <a:ext cx="360000" cy="360000"/>
        </a:xfrm>
        <a:prstGeom prst="rect">
          <a:avLst/>
        </a:prstGeom>
      </xdr:spPr>
    </xdr:pic>
    <xdr:clientData/>
  </xdr:oneCellAnchor>
  <xdr:twoCellAnchor editAs="oneCell">
    <xdr:from>
      <xdr:col>1</xdr:col>
      <xdr:colOff>38100</xdr:colOff>
      <xdr:row>299</xdr:row>
      <xdr:rowOff>123825</xdr:rowOff>
    </xdr:from>
    <xdr:to>
      <xdr:col>1</xdr:col>
      <xdr:colOff>398100</xdr:colOff>
      <xdr:row>301</xdr:row>
      <xdr:rowOff>102825</xdr:rowOff>
    </xdr:to>
    <xdr:pic>
      <xdr:nvPicPr>
        <xdr:cNvPr id="21" name="Picture 20">
          <a:extLst>
            <a:ext uri="{FF2B5EF4-FFF2-40B4-BE49-F238E27FC236}">
              <a16:creationId xmlns:a16="http://schemas.microsoft.com/office/drawing/2014/main" id="{00000000-0008-0000-27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4239875"/>
          <a:ext cx="360000" cy="360000"/>
        </a:xfrm>
        <a:prstGeom prst="rect">
          <a:avLst/>
        </a:prstGeom>
      </xdr:spPr>
    </xdr:pic>
    <xdr:clientData/>
  </xdr:twoCellAnchor>
  <xdr:twoCellAnchor>
    <xdr:from>
      <xdr:col>5</xdr:col>
      <xdr:colOff>838200</xdr:colOff>
      <xdr:row>250</xdr:row>
      <xdr:rowOff>152400</xdr:rowOff>
    </xdr:from>
    <xdr:to>
      <xdr:col>6</xdr:col>
      <xdr:colOff>812325</xdr:colOff>
      <xdr:row>252</xdr:row>
      <xdr:rowOff>42450</xdr:rowOff>
    </xdr:to>
    <xdr:sp macro="" textlink="">
      <xdr:nvSpPr>
        <xdr:cNvPr id="22" name="Rectangle à coins arrondis 2">
          <a:hlinkClick xmlns:r="http://schemas.openxmlformats.org/officeDocument/2006/relationships" r:id="rId12" tooltip="Option A"/>
          <a:extLst>
            <a:ext uri="{FF2B5EF4-FFF2-40B4-BE49-F238E27FC236}">
              <a16:creationId xmlns:a16="http://schemas.microsoft.com/office/drawing/2014/main" id="{00000000-0008-0000-2700-000016000000}"/>
            </a:ext>
          </a:extLst>
        </xdr:cNvPr>
        <xdr:cNvSpPr>
          <a:spLocks noChangeArrowheads="1"/>
        </xdr:cNvSpPr>
      </xdr:nvSpPr>
      <xdr:spPr bwMode="auto">
        <a:xfrm>
          <a:off x="6134100" y="18497550"/>
          <a:ext cx="126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6</xdr:col>
      <xdr:colOff>933450</xdr:colOff>
      <xdr:row>250</xdr:row>
      <xdr:rowOff>152400</xdr:rowOff>
    </xdr:from>
    <xdr:to>
      <xdr:col>7</xdr:col>
      <xdr:colOff>955200</xdr:colOff>
      <xdr:row>252</xdr:row>
      <xdr:rowOff>42450</xdr:rowOff>
    </xdr:to>
    <xdr:sp macro="" textlink="">
      <xdr:nvSpPr>
        <xdr:cNvPr id="23" name="Rectangle à coins arrondis 2">
          <a:hlinkClick xmlns:r="http://schemas.openxmlformats.org/officeDocument/2006/relationships" r:id="rId13" tooltip="Option B"/>
          <a:extLst>
            <a:ext uri="{FF2B5EF4-FFF2-40B4-BE49-F238E27FC236}">
              <a16:creationId xmlns:a16="http://schemas.microsoft.com/office/drawing/2014/main" id="{00000000-0008-0000-2700-000017000000}"/>
            </a:ext>
          </a:extLst>
        </xdr:cNvPr>
        <xdr:cNvSpPr>
          <a:spLocks noChangeArrowheads="1"/>
        </xdr:cNvSpPr>
      </xdr:nvSpPr>
      <xdr:spPr bwMode="auto">
        <a:xfrm>
          <a:off x="7515225" y="18497550"/>
          <a:ext cx="1260000" cy="271050"/>
        </a:xfrm>
        <a:prstGeom prst="roundRect">
          <a:avLst>
            <a:gd name="adj" fmla="val 16667"/>
          </a:avLst>
        </a:prstGeom>
        <a:solidFill>
          <a:schemeClr val="accent2">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5</xdr:col>
      <xdr:colOff>228600</xdr:colOff>
      <xdr:row>250</xdr:row>
      <xdr:rowOff>161925</xdr:rowOff>
    </xdr:from>
    <xdr:to>
      <xdr:col>5</xdr:col>
      <xdr:colOff>660600</xdr:colOff>
      <xdr:row>252</xdr:row>
      <xdr:rowOff>51975</xdr:rowOff>
    </xdr:to>
    <xdr:sp macro="" textlink="">
      <xdr:nvSpPr>
        <xdr:cNvPr id="24" name="Flèche droite 6">
          <a:extLst>
            <a:ext uri="{FF2B5EF4-FFF2-40B4-BE49-F238E27FC236}">
              <a16:creationId xmlns:a16="http://schemas.microsoft.com/office/drawing/2014/main" id="{00000000-0008-0000-2700-000018000000}"/>
            </a:ext>
          </a:extLst>
        </xdr:cNvPr>
        <xdr:cNvSpPr/>
      </xdr:nvSpPr>
      <xdr:spPr>
        <a:xfrm>
          <a:off x="5524500" y="45643800"/>
          <a:ext cx="432000" cy="271050"/>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oneCellAnchor>
    <xdr:from>
      <xdr:col>1</xdr:col>
      <xdr:colOff>38100</xdr:colOff>
      <xdr:row>371</xdr:row>
      <xdr:rowOff>114300</xdr:rowOff>
    </xdr:from>
    <xdr:ext cx="360000" cy="360000"/>
    <xdr:pic>
      <xdr:nvPicPr>
        <xdr:cNvPr id="26" name="Picture 25">
          <a:extLst>
            <a:ext uri="{FF2B5EF4-FFF2-40B4-BE49-F238E27FC236}">
              <a16:creationId xmlns:a16="http://schemas.microsoft.com/office/drawing/2014/main" id="{00000000-0008-0000-27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4419600"/>
          <a:ext cx="360000" cy="360000"/>
        </a:xfrm>
        <a:prstGeom prst="rect">
          <a:avLst/>
        </a:prstGeom>
      </xdr:spPr>
    </xdr:pic>
    <xdr:clientData/>
  </xdr:oneCellAnchor>
  <xdr:oneCellAnchor>
    <xdr:from>
      <xdr:col>1</xdr:col>
      <xdr:colOff>38100</xdr:colOff>
      <xdr:row>376</xdr:row>
      <xdr:rowOff>123825</xdr:rowOff>
    </xdr:from>
    <xdr:ext cx="360000" cy="360000"/>
    <xdr:pic>
      <xdr:nvPicPr>
        <xdr:cNvPr id="27" name="Picture 26">
          <a:extLst>
            <a:ext uri="{FF2B5EF4-FFF2-40B4-BE49-F238E27FC236}">
              <a16:creationId xmlns:a16="http://schemas.microsoft.com/office/drawing/2014/main" id="{00000000-0008-0000-27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5400675"/>
          <a:ext cx="360000" cy="360000"/>
        </a:xfrm>
        <a:prstGeom prst="rect">
          <a:avLst/>
        </a:prstGeom>
      </xdr:spPr>
    </xdr:pic>
    <xdr:clientData/>
  </xdr:oneCellAnchor>
  <xdr:twoCellAnchor editAs="oneCell">
    <xdr:from>
      <xdr:col>1</xdr:col>
      <xdr:colOff>28575</xdr:colOff>
      <xdr:row>400</xdr:row>
      <xdr:rowOff>85725</xdr:rowOff>
    </xdr:from>
    <xdr:to>
      <xdr:col>1</xdr:col>
      <xdr:colOff>388575</xdr:colOff>
      <xdr:row>402</xdr:row>
      <xdr:rowOff>64725</xdr:rowOff>
    </xdr:to>
    <xdr:pic>
      <xdr:nvPicPr>
        <xdr:cNvPr id="28" name="Picture 27">
          <a:extLst>
            <a:ext uri="{FF2B5EF4-FFF2-40B4-BE49-F238E27FC236}">
              <a16:creationId xmlns:a16="http://schemas.microsoft.com/office/drawing/2014/main" id="{00000000-0008-0000-27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09575" y="10077450"/>
          <a:ext cx="360000" cy="360000"/>
        </a:xfrm>
        <a:prstGeom prst="rect">
          <a:avLst/>
        </a:prstGeom>
      </xdr:spPr>
    </xdr:pic>
    <xdr:clientData/>
  </xdr:twoCellAnchor>
  <xdr:oneCellAnchor>
    <xdr:from>
      <xdr:col>1</xdr:col>
      <xdr:colOff>38100</xdr:colOff>
      <xdr:row>402</xdr:row>
      <xdr:rowOff>123825</xdr:rowOff>
    </xdr:from>
    <xdr:ext cx="360000" cy="360000"/>
    <xdr:pic>
      <xdr:nvPicPr>
        <xdr:cNvPr id="29" name="Picture 28">
          <a:extLst>
            <a:ext uri="{FF2B5EF4-FFF2-40B4-BE49-F238E27FC236}">
              <a16:creationId xmlns:a16="http://schemas.microsoft.com/office/drawing/2014/main" id="{00000000-0008-0000-27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0467975"/>
          <a:ext cx="360000" cy="360000"/>
        </a:xfrm>
        <a:prstGeom prst="rect">
          <a:avLst/>
        </a:prstGeom>
      </xdr:spPr>
    </xdr:pic>
    <xdr:clientData/>
  </xdr:oneCellAnchor>
  <xdr:twoCellAnchor editAs="oneCell">
    <xdr:from>
      <xdr:col>1</xdr:col>
      <xdr:colOff>76200</xdr:colOff>
      <xdr:row>369</xdr:row>
      <xdr:rowOff>38099</xdr:rowOff>
    </xdr:from>
    <xdr:to>
      <xdr:col>1</xdr:col>
      <xdr:colOff>467239</xdr:colOff>
      <xdr:row>370</xdr:row>
      <xdr:rowOff>188549</xdr:rowOff>
    </xdr:to>
    <xdr:pic>
      <xdr:nvPicPr>
        <xdr:cNvPr id="30" name="Picture 29">
          <a:extLst>
            <a:ext uri="{FF2B5EF4-FFF2-40B4-BE49-F238E27FC236}">
              <a16:creationId xmlns:a16="http://schemas.microsoft.com/office/drawing/2014/main" id="{00000000-0008-0000-27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0525" y="44043599"/>
          <a:ext cx="391039" cy="360000"/>
        </a:xfrm>
        <a:prstGeom prst="rect">
          <a:avLst/>
        </a:prstGeom>
      </xdr:spPr>
    </xdr:pic>
    <xdr:clientData/>
  </xdr:twoCellAnchor>
  <xdr:twoCellAnchor>
    <xdr:from>
      <xdr:col>6</xdr:col>
      <xdr:colOff>885825</xdr:colOff>
      <xdr:row>1</xdr:row>
      <xdr:rowOff>142875</xdr:rowOff>
    </xdr:from>
    <xdr:to>
      <xdr:col>7</xdr:col>
      <xdr:colOff>439575</xdr:colOff>
      <xdr:row>3</xdr:row>
      <xdr:rowOff>49875</xdr:rowOff>
    </xdr:to>
    <xdr:sp macro="" textlink="">
      <xdr:nvSpPr>
        <xdr:cNvPr id="31" name="Rectangle à coins arrondis 2">
          <a:hlinkClick xmlns:r="http://schemas.openxmlformats.org/officeDocument/2006/relationships" r:id="rId14" tooltip="H-BPC-4"/>
          <a:extLst>
            <a:ext uri="{FF2B5EF4-FFF2-40B4-BE49-F238E27FC236}">
              <a16:creationId xmlns:a16="http://schemas.microsoft.com/office/drawing/2014/main" id="{00000000-0008-0000-2700-00001F000000}"/>
            </a:ext>
          </a:extLst>
        </xdr:cNvPr>
        <xdr:cNvSpPr>
          <a:spLocks noChangeArrowheads="1"/>
        </xdr:cNvSpPr>
      </xdr:nvSpPr>
      <xdr:spPr bwMode="auto">
        <a:xfrm>
          <a:off x="7467600" y="457200"/>
          <a:ext cx="792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H-BPC-4</a:t>
          </a:r>
        </a:p>
      </xdr:txBody>
    </xdr:sp>
    <xdr:clientData/>
  </xdr:twoCellAnchor>
  <xdr:twoCellAnchor editAs="oneCell">
    <xdr:from>
      <xdr:col>1</xdr:col>
      <xdr:colOff>38100</xdr:colOff>
      <xdr:row>112</xdr:row>
      <xdr:rowOff>180975</xdr:rowOff>
    </xdr:from>
    <xdr:to>
      <xdr:col>1</xdr:col>
      <xdr:colOff>578453</xdr:colOff>
      <xdr:row>113</xdr:row>
      <xdr:rowOff>511778</xdr:rowOff>
    </xdr:to>
    <xdr:pic>
      <xdr:nvPicPr>
        <xdr:cNvPr id="32" name="Picture 31">
          <a:extLst>
            <a:ext uri="{FF2B5EF4-FFF2-40B4-BE49-F238E27FC236}">
              <a16:creationId xmlns:a16="http://schemas.microsoft.com/office/drawing/2014/main" id="{00000000-0008-0000-27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2425" y="9124950"/>
          <a:ext cx="540353" cy="540353"/>
        </a:xfrm>
        <a:prstGeom prst="rect">
          <a:avLst/>
        </a:prstGeom>
      </xdr:spPr>
    </xdr:pic>
    <xdr:clientData/>
  </xdr:twoCellAnchor>
  <xdr:twoCellAnchor editAs="oneCell">
    <xdr:from>
      <xdr:col>1</xdr:col>
      <xdr:colOff>47625</xdr:colOff>
      <xdr:row>117</xdr:row>
      <xdr:rowOff>85725</xdr:rowOff>
    </xdr:from>
    <xdr:to>
      <xdr:col>1</xdr:col>
      <xdr:colOff>443625</xdr:colOff>
      <xdr:row>119</xdr:row>
      <xdr:rowOff>62625</xdr:rowOff>
    </xdr:to>
    <xdr:pic>
      <xdr:nvPicPr>
        <xdr:cNvPr id="33" name="Picture 32">
          <a:extLst>
            <a:ext uri="{FF2B5EF4-FFF2-40B4-BE49-F238E27FC236}">
              <a16:creationId xmlns:a16="http://schemas.microsoft.com/office/drawing/2014/main" id="{00000000-0008-0000-27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5543550"/>
          <a:ext cx="396000" cy="396000"/>
        </a:xfrm>
        <a:prstGeom prst="rect">
          <a:avLst/>
        </a:prstGeom>
      </xdr:spPr>
    </xdr:pic>
    <xdr:clientData/>
  </xdr:twoCellAnchor>
  <xdr:twoCellAnchor editAs="oneCell">
    <xdr:from>
      <xdr:col>1</xdr:col>
      <xdr:colOff>28575</xdr:colOff>
      <xdr:row>106</xdr:row>
      <xdr:rowOff>76200</xdr:rowOff>
    </xdr:from>
    <xdr:to>
      <xdr:col>1</xdr:col>
      <xdr:colOff>390196</xdr:colOff>
      <xdr:row>108</xdr:row>
      <xdr:rowOff>94921</xdr:rowOff>
    </xdr:to>
    <xdr:pic>
      <xdr:nvPicPr>
        <xdr:cNvPr id="34" name="Picture 33">
          <a:extLst>
            <a:ext uri="{FF2B5EF4-FFF2-40B4-BE49-F238E27FC236}">
              <a16:creationId xmlns:a16="http://schemas.microsoft.com/office/drawing/2014/main" id="{00000000-0008-0000-2700-00002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2900" y="8058150"/>
          <a:ext cx="361621" cy="361621"/>
        </a:xfrm>
        <a:prstGeom prst="rect">
          <a:avLst/>
        </a:prstGeom>
      </xdr:spPr>
    </xdr:pic>
    <xdr:clientData/>
  </xdr:twoCellAnchor>
  <xdr:twoCellAnchor>
    <xdr:from>
      <xdr:col>5</xdr:col>
      <xdr:colOff>866774</xdr:colOff>
      <xdr:row>26</xdr:row>
      <xdr:rowOff>152400</xdr:rowOff>
    </xdr:from>
    <xdr:to>
      <xdr:col>6</xdr:col>
      <xdr:colOff>1076324</xdr:colOff>
      <xdr:row>28</xdr:row>
      <xdr:rowOff>42450</xdr:rowOff>
    </xdr:to>
    <xdr:sp macro="" textlink="">
      <xdr:nvSpPr>
        <xdr:cNvPr id="35" name="Rectangle à coins arrondis 2">
          <a:hlinkClick xmlns:r="http://schemas.openxmlformats.org/officeDocument/2006/relationships" r:id="rId17" tooltip="Flush-out procedure"/>
          <a:extLst>
            <a:ext uri="{FF2B5EF4-FFF2-40B4-BE49-F238E27FC236}">
              <a16:creationId xmlns:a16="http://schemas.microsoft.com/office/drawing/2014/main" id="{00000000-0008-0000-2700-000023000000}"/>
            </a:ext>
          </a:extLst>
        </xdr:cNvPr>
        <xdr:cNvSpPr>
          <a:spLocks noChangeArrowheads="1"/>
        </xdr:cNvSpPr>
      </xdr:nvSpPr>
      <xdr:spPr bwMode="auto">
        <a:xfrm>
          <a:off x="6162674" y="7753350"/>
          <a:ext cx="1495425" cy="2901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Flush-out procedure</a:t>
          </a:r>
        </a:p>
      </xdr:txBody>
    </xdr:sp>
    <xdr:clientData/>
  </xdr:twoCellAnchor>
  <xdr:twoCellAnchor>
    <xdr:from>
      <xdr:col>7</xdr:col>
      <xdr:colOff>38099</xdr:colOff>
      <xdr:row>26</xdr:row>
      <xdr:rowOff>152400</xdr:rowOff>
    </xdr:from>
    <xdr:to>
      <xdr:col>8</xdr:col>
      <xdr:colOff>657224</xdr:colOff>
      <xdr:row>28</xdr:row>
      <xdr:rowOff>42450</xdr:rowOff>
    </xdr:to>
    <xdr:sp macro="" textlink="">
      <xdr:nvSpPr>
        <xdr:cNvPr id="36" name="Rectangle à coins arrondis 2">
          <a:hlinkClick xmlns:r="http://schemas.openxmlformats.org/officeDocument/2006/relationships" r:id="rId18" tooltip="Clean air supply ductwork"/>
          <a:extLst>
            <a:ext uri="{FF2B5EF4-FFF2-40B4-BE49-F238E27FC236}">
              <a16:creationId xmlns:a16="http://schemas.microsoft.com/office/drawing/2014/main" id="{00000000-0008-0000-2700-000024000000}"/>
            </a:ext>
          </a:extLst>
        </xdr:cNvPr>
        <xdr:cNvSpPr>
          <a:spLocks noChangeArrowheads="1"/>
        </xdr:cNvSpPr>
      </xdr:nvSpPr>
      <xdr:spPr bwMode="auto">
        <a:xfrm>
          <a:off x="7858124" y="7734300"/>
          <a:ext cx="1800225" cy="290100"/>
        </a:xfrm>
        <a:prstGeom prst="roundRect">
          <a:avLst>
            <a:gd name="adj" fmla="val 16667"/>
          </a:avLst>
        </a:prstGeom>
        <a:solidFill>
          <a:schemeClr val="accent2">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Clean air supply ductwork</a:t>
          </a:r>
        </a:p>
      </xdr:txBody>
    </xdr:sp>
    <xdr:clientData/>
  </xdr:twoCellAnchor>
  <xdr:twoCellAnchor>
    <xdr:from>
      <xdr:col>5</xdr:col>
      <xdr:colOff>257175</xdr:colOff>
      <xdr:row>26</xdr:row>
      <xdr:rowOff>161925</xdr:rowOff>
    </xdr:from>
    <xdr:to>
      <xdr:col>5</xdr:col>
      <xdr:colOff>689175</xdr:colOff>
      <xdr:row>28</xdr:row>
      <xdr:rowOff>51975</xdr:rowOff>
    </xdr:to>
    <xdr:sp macro="" textlink="">
      <xdr:nvSpPr>
        <xdr:cNvPr id="37" name="Flèche droite 6">
          <a:extLst>
            <a:ext uri="{FF2B5EF4-FFF2-40B4-BE49-F238E27FC236}">
              <a16:creationId xmlns:a16="http://schemas.microsoft.com/office/drawing/2014/main" id="{00000000-0008-0000-2700-000025000000}"/>
            </a:ext>
          </a:extLst>
        </xdr:cNvPr>
        <xdr:cNvSpPr/>
      </xdr:nvSpPr>
      <xdr:spPr>
        <a:xfrm>
          <a:off x="5553075" y="16583025"/>
          <a:ext cx="432000" cy="271050"/>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47625</xdr:colOff>
      <xdr:row>37</xdr:row>
      <xdr:rowOff>123825</xdr:rowOff>
    </xdr:from>
    <xdr:to>
      <xdr:col>1</xdr:col>
      <xdr:colOff>625387</xdr:colOff>
      <xdr:row>40</xdr:row>
      <xdr:rowOff>130087</xdr:rowOff>
    </xdr:to>
    <xdr:pic>
      <xdr:nvPicPr>
        <xdr:cNvPr id="38" name="Picture 37">
          <a:extLst>
            <a:ext uri="{FF2B5EF4-FFF2-40B4-BE49-F238E27FC236}">
              <a16:creationId xmlns:a16="http://schemas.microsoft.com/office/drawing/2014/main" id="{00000000-0008-0000-2700-00002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1950" y="20031075"/>
          <a:ext cx="577762" cy="577762"/>
        </a:xfrm>
        <a:prstGeom prst="rect">
          <a:avLst/>
        </a:prstGeom>
      </xdr:spPr>
    </xdr:pic>
    <xdr:clientData/>
  </xdr:twoCellAnchor>
  <xdr:twoCellAnchor editAs="oneCell">
    <xdr:from>
      <xdr:col>1</xdr:col>
      <xdr:colOff>38100</xdr:colOff>
      <xdr:row>47</xdr:row>
      <xdr:rowOff>85725</xdr:rowOff>
    </xdr:from>
    <xdr:to>
      <xdr:col>1</xdr:col>
      <xdr:colOff>434100</xdr:colOff>
      <xdr:row>49</xdr:row>
      <xdr:rowOff>62625</xdr:rowOff>
    </xdr:to>
    <xdr:pic>
      <xdr:nvPicPr>
        <xdr:cNvPr id="39" name="Picture 38">
          <a:extLst>
            <a:ext uri="{FF2B5EF4-FFF2-40B4-BE49-F238E27FC236}">
              <a16:creationId xmlns:a16="http://schemas.microsoft.com/office/drawing/2014/main" id="{00000000-0008-0000-27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7486650"/>
          <a:ext cx="396000" cy="396000"/>
        </a:xfrm>
        <a:prstGeom prst="rect">
          <a:avLst/>
        </a:prstGeom>
      </xdr:spPr>
    </xdr:pic>
    <xdr:clientData/>
  </xdr:twoCellAnchor>
  <xdr:oneCellAnchor>
    <xdr:from>
      <xdr:col>1</xdr:col>
      <xdr:colOff>57150</xdr:colOff>
      <xdr:row>84</xdr:row>
      <xdr:rowOff>85725</xdr:rowOff>
    </xdr:from>
    <xdr:ext cx="396000" cy="396000"/>
    <xdr:pic>
      <xdr:nvPicPr>
        <xdr:cNvPr id="40" name="Picture 39">
          <a:extLst>
            <a:ext uri="{FF2B5EF4-FFF2-40B4-BE49-F238E27FC236}">
              <a16:creationId xmlns:a16="http://schemas.microsoft.com/office/drawing/2014/main" id="{00000000-0008-0000-27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30051375"/>
          <a:ext cx="396000" cy="396000"/>
        </a:xfrm>
        <a:prstGeom prst="rect">
          <a:avLst/>
        </a:prstGeom>
      </xdr:spPr>
    </xdr:pic>
    <xdr:clientData/>
  </xdr:oneCellAnchor>
  <xdr:twoCellAnchor editAs="oneCell">
    <xdr:from>
      <xdr:col>1</xdr:col>
      <xdr:colOff>47625</xdr:colOff>
      <xdr:row>80</xdr:row>
      <xdr:rowOff>85725</xdr:rowOff>
    </xdr:from>
    <xdr:to>
      <xdr:col>1</xdr:col>
      <xdr:colOff>443625</xdr:colOff>
      <xdr:row>82</xdr:row>
      <xdr:rowOff>62625</xdr:rowOff>
    </xdr:to>
    <xdr:pic>
      <xdr:nvPicPr>
        <xdr:cNvPr id="41" name="Picture 40">
          <a:extLst>
            <a:ext uri="{FF2B5EF4-FFF2-40B4-BE49-F238E27FC236}">
              <a16:creationId xmlns:a16="http://schemas.microsoft.com/office/drawing/2014/main" id="{00000000-0008-0000-2700-00002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4554200"/>
          <a:ext cx="396000" cy="396000"/>
        </a:xfrm>
        <a:prstGeom prst="rect">
          <a:avLst/>
        </a:prstGeom>
      </xdr:spPr>
    </xdr:pic>
    <xdr:clientData/>
  </xdr:twoCellAnchor>
  <xdr:twoCellAnchor editAs="oneCell">
    <xdr:from>
      <xdr:col>1</xdr:col>
      <xdr:colOff>47625</xdr:colOff>
      <xdr:row>82</xdr:row>
      <xdr:rowOff>180975</xdr:rowOff>
    </xdr:from>
    <xdr:to>
      <xdr:col>1</xdr:col>
      <xdr:colOff>442499</xdr:colOff>
      <xdr:row>84</xdr:row>
      <xdr:rowOff>42449</xdr:rowOff>
    </xdr:to>
    <xdr:pic>
      <xdr:nvPicPr>
        <xdr:cNvPr id="42" name="Picture 41">
          <a:extLst>
            <a:ext uri="{FF2B5EF4-FFF2-40B4-BE49-F238E27FC236}">
              <a16:creationId xmlns:a16="http://schemas.microsoft.com/office/drawing/2014/main" id="{00000000-0008-0000-2700-00002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50" y="29613225"/>
          <a:ext cx="394874" cy="394874"/>
        </a:xfrm>
        <a:prstGeom prst="rect">
          <a:avLst/>
        </a:prstGeom>
      </xdr:spPr>
    </xdr:pic>
    <xdr:clientData/>
  </xdr:twoCellAnchor>
  <xdr:twoCellAnchor editAs="oneCell">
    <xdr:from>
      <xdr:col>1</xdr:col>
      <xdr:colOff>28575</xdr:colOff>
      <xdr:row>32</xdr:row>
      <xdr:rowOff>85725</xdr:rowOff>
    </xdr:from>
    <xdr:to>
      <xdr:col>1</xdr:col>
      <xdr:colOff>390196</xdr:colOff>
      <xdr:row>34</xdr:row>
      <xdr:rowOff>104446</xdr:rowOff>
    </xdr:to>
    <xdr:pic>
      <xdr:nvPicPr>
        <xdr:cNvPr id="43" name="Picture 42">
          <a:extLst>
            <a:ext uri="{FF2B5EF4-FFF2-40B4-BE49-F238E27FC236}">
              <a16:creationId xmlns:a16="http://schemas.microsoft.com/office/drawing/2014/main" id="{00000000-0008-0000-2700-00002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42900" y="19097625"/>
          <a:ext cx="361621" cy="361621"/>
        </a:xfrm>
        <a:prstGeom prst="rect">
          <a:avLst/>
        </a:prstGeom>
      </xdr:spPr>
    </xdr:pic>
    <xdr:clientData/>
  </xdr:twoCellAnchor>
  <xdr:twoCellAnchor editAs="oneCell">
    <xdr:from>
      <xdr:col>1</xdr:col>
      <xdr:colOff>19050</xdr:colOff>
      <xdr:row>43</xdr:row>
      <xdr:rowOff>114300</xdr:rowOff>
    </xdr:from>
    <xdr:to>
      <xdr:col>1</xdr:col>
      <xdr:colOff>379050</xdr:colOff>
      <xdr:row>45</xdr:row>
      <xdr:rowOff>55200</xdr:rowOff>
    </xdr:to>
    <xdr:pic>
      <xdr:nvPicPr>
        <xdr:cNvPr id="44" name="Picture 43">
          <a:extLst>
            <a:ext uri="{FF2B5EF4-FFF2-40B4-BE49-F238E27FC236}">
              <a16:creationId xmlns:a16="http://schemas.microsoft.com/office/drawing/2014/main" id="{00000000-0008-0000-2700-00002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6734175"/>
          <a:ext cx="360000" cy="360000"/>
        </a:xfrm>
        <a:prstGeom prst="rect">
          <a:avLst/>
        </a:prstGeom>
      </xdr:spPr>
    </xdr:pic>
    <xdr:clientData/>
  </xdr:twoCellAnchor>
  <xdr:oneCellAnchor>
    <xdr:from>
      <xdr:col>1</xdr:col>
      <xdr:colOff>57150</xdr:colOff>
      <xdr:row>155</xdr:row>
      <xdr:rowOff>76200</xdr:rowOff>
    </xdr:from>
    <xdr:ext cx="504000" cy="504000"/>
    <xdr:pic>
      <xdr:nvPicPr>
        <xdr:cNvPr id="46" name="Picture 45">
          <a:extLst>
            <a:ext uri="{FF2B5EF4-FFF2-40B4-BE49-F238E27FC236}">
              <a16:creationId xmlns:a16="http://schemas.microsoft.com/office/drawing/2014/main" id="{4C0A5206-1C1C-4557-B08B-06DA9255B74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1475" y="35318700"/>
          <a:ext cx="504000" cy="504000"/>
        </a:xfrm>
        <a:prstGeom prst="rect">
          <a:avLst/>
        </a:prstGeom>
      </xdr:spPr>
    </xdr:pic>
    <xdr:clientData/>
  </xdr:oneCellAnchor>
  <xdr:oneCellAnchor>
    <xdr:from>
      <xdr:col>1</xdr:col>
      <xdr:colOff>47625</xdr:colOff>
      <xdr:row>159</xdr:row>
      <xdr:rowOff>85725</xdr:rowOff>
    </xdr:from>
    <xdr:ext cx="396000" cy="357900"/>
    <xdr:pic>
      <xdr:nvPicPr>
        <xdr:cNvPr id="47" name="Picture 46">
          <a:extLst>
            <a:ext uri="{FF2B5EF4-FFF2-40B4-BE49-F238E27FC236}">
              <a16:creationId xmlns:a16="http://schemas.microsoft.com/office/drawing/2014/main" id="{97B089C8-1F7D-428C-BB59-3093C5B3E7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10506075"/>
          <a:ext cx="396000" cy="357900"/>
        </a:xfrm>
        <a:prstGeom prst="rect">
          <a:avLst/>
        </a:prstGeom>
      </xdr:spPr>
    </xdr:pic>
    <xdr:clientData/>
  </xdr:oneCellAnchor>
  <xdr:oneCellAnchor>
    <xdr:from>
      <xdr:col>1</xdr:col>
      <xdr:colOff>19049</xdr:colOff>
      <xdr:row>148</xdr:row>
      <xdr:rowOff>57149</xdr:rowOff>
    </xdr:from>
    <xdr:ext cx="396000" cy="396000"/>
    <xdr:pic>
      <xdr:nvPicPr>
        <xdr:cNvPr id="48" name="Picture 47">
          <a:extLst>
            <a:ext uri="{FF2B5EF4-FFF2-40B4-BE49-F238E27FC236}">
              <a16:creationId xmlns:a16="http://schemas.microsoft.com/office/drawing/2014/main" id="{F6394046-6320-4198-B981-53732D3E31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3374" y="34128074"/>
          <a:ext cx="396000" cy="396000"/>
        </a:xfrm>
        <a:prstGeom prst="rect">
          <a:avLst/>
        </a:prstGeom>
      </xdr:spPr>
    </xdr:pic>
    <xdr:clientData/>
  </xdr:oneCellAnchor>
  <xdr:twoCellAnchor editAs="oneCell">
    <xdr:from>
      <xdr:col>1</xdr:col>
      <xdr:colOff>19050</xdr:colOff>
      <xdr:row>151</xdr:row>
      <xdr:rowOff>38100</xdr:rowOff>
    </xdr:from>
    <xdr:to>
      <xdr:col>1</xdr:col>
      <xdr:colOff>379050</xdr:colOff>
      <xdr:row>153</xdr:row>
      <xdr:rowOff>102825</xdr:rowOff>
    </xdr:to>
    <xdr:pic>
      <xdr:nvPicPr>
        <xdr:cNvPr id="49" name="Picture 48">
          <a:extLst>
            <a:ext uri="{FF2B5EF4-FFF2-40B4-BE49-F238E27FC236}">
              <a16:creationId xmlns:a16="http://schemas.microsoft.com/office/drawing/2014/main" id="{A786E828-F19E-4D2E-8971-B4879F606DD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34604325"/>
          <a:ext cx="360000" cy="36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201082</xdr:colOff>
      <xdr:row>0</xdr:row>
      <xdr:rowOff>42333</xdr:rowOff>
    </xdr:from>
    <xdr:to>
      <xdr:col>11</xdr:col>
      <xdr:colOff>130237</xdr:colOff>
      <xdr:row>3</xdr:row>
      <xdr:rowOff>86141</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stretch>
          <a:fillRect/>
        </a:stretch>
      </xdr:blipFill>
      <xdr:spPr>
        <a:xfrm>
          <a:off x="9980082" y="42333"/>
          <a:ext cx="860488" cy="901058"/>
        </a:xfrm>
        <a:prstGeom prst="rect">
          <a:avLst/>
        </a:prstGeom>
      </xdr:spPr>
    </xdr:pic>
    <xdr:clientData/>
  </xdr:twoCellAnchor>
  <xdr:twoCellAnchor>
    <xdr:from>
      <xdr:col>0</xdr:col>
      <xdr:colOff>380996</xdr:colOff>
      <xdr:row>11</xdr:row>
      <xdr:rowOff>31753</xdr:rowOff>
    </xdr:from>
    <xdr:to>
      <xdr:col>1</xdr:col>
      <xdr:colOff>1979996</xdr:colOff>
      <xdr:row>12</xdr:row>
      <xdr:rowOff>31920</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800-000005000000}"/>
            </a:ext>
          </a:extLst>
        </xdr:cNvPr>
        <xdr:cNvSpPr>
          <a:spLocks noChangeArrowheads="1"/>
        </xdr:cNvSpPr>
      </xdr:nvSpPr>
      <xdr:spPr bwMode="auto">
        <a:xfrm>
          <a:off x="380996" y="2931586"/>
          <a:ext cx="1980000" cy="36000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xdr:colOff>
      <xdr:row>12</xdr:row>
      <xdr:rowOff>23812</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058025" y="264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xdr:col>
      <xdr:colOff>9522</xdr:colOff>
      <xdr:row>28</xdr:row>
      <xdr:rowOff>110685</xdr:rowOff>
    </xdr:from>
    <xdr:to>
      <xdr:col>13</xdr:col>
      <xdr:colOff>504825</xdr:colOff>
      <xdr:row>67</xdr:row>
      <xdr:rowOff>66676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314322" y="5854260"/>
          <a:ext cx="9820278" cy="7414066"/>
          <a:chOff x="314322" y="5711385"/>
          <a:chExt cx="10058403" cy="7249592"/>
        </a:xfrm>
      </xdr:grpSpPr>
      <xdr:sp macro="" textlink="">
        <xdr:nvSpPr>
          <xdr:cNvPr id="6" name="Freeform 5">
            <a:extLst>
              <a:ext uri="{FF2B5EF4-FFF2-40B4-BE49-F238E27FC236}">
                <a16:creationId xmlns:a16="http://schemas.microsoft.com/office/drawing/2014/main" id="{00000000-0008-0000-0400-000006000000}"/>
              </a:ext>
            </a:extLst>
          </xdr:cNvPr>
          <xdr:cNvSpPr/>
        </xdr:nvSpPr>
        <xdr:spPr>
          <a:xfrm>
            <a:off x="314322" y="5831506"/>
            <a:ext cx="10058403" cy="583537"/>
          </a:xfrm>
          <a:custGeom>
            <a:avLst/>
            <a:gdLst>
              <a:gd name="connsiteX0" fmla="*/ 0 w 10058403"/>
              <a:gd name="connsiteY0" fmla="*/ 97258 h 583537"/>
              <a:gd name="connsiteX1" fmla="*/ 97258 w 10058403"/>
              <a:gd name="connsiteY1" fmla="*/ 0 h 583537"/>
              <a:gd name="connsiteX2" fmla="*/ 9961145 w 10058403"/>
              <a:gd name="connsiteY2" fmla="*/ 0 h 583537"/>
              <a:gd name="connsiteX3" fmla="*/ 10058403 w 10058403"/>
              <a:gd name="connsiteY3" fmla="*/ 97258 h 583537"/>
              <a:gd name="connsiteX4" fmla="*/ 10058403 w 10058403"/>
              <a:gd name="connsiteY4" fmla="*/ 486279 h 583537"/>
              <a:gd name="connsiteX5" fmla="*/ 9961145 w 10058403"/>
              <a:gd name="connsiteY5" fmla="*/ 583537 h 583537"/>
              <a:gd name="connsiteX6" fmla="*/ 97258 w 10058403"/>
              <a:gd name="connsiteY6" fmla="*/ 583537 h 583537"/>
              <a:gd name="connsiteX7" fmla="*/ 0 w 10058403"/>
              <a:gd name="connsiteY7" fmla="*/ 486279 h 583537"/>
              <a:gd name="connsiteX8" fmla="*/ 0 w 10058403"/>
              <a:gd name="connsiteY8" fmla="*/ 97258 h 58353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583537">
                <a:moveTo>
                  <a:pt x="0" y="97258"/>
                </a:moveTo>
                <a:cubicBezTo>
                  <a:pt x="0" y="43544"/>
                  <a:pt x="43544" y="0"/>
                  <a:pt x="97258" y="0"/>
                </a:cubicBezTo>
                <a:lnTo>
                  <a:pt x="9961145" y="0"/>
                </a:lnTo>
                <a:cubicBezTo>
                  <a:pt x="10014859" y="0"/>
                  <a:pt x="10058403" y="43544"/>
                  <a:pt x="10058403" y="97258"/>
                </a:cubicBezTo>
                <a:lnTo>
                  <a:pt x="10058403" y="486279"/>
                </a:lnTo>
                <a:cubicBezTo>
                  <a:pt x="10058403" y="539993"/>
                  <a:pt x="10014859" y="583537"/>
                  <a:pt x="9961145" y="583537"/>
                </a:cubicBezTo>
                <a:lnTo>
                  <a:pt x="97258" y="583537"/>
                </a:lnTo>
                <a:cubicBezTo>
                  <a:pt x="43544" y="583537"/>
                  <a:pt x="0" y="539993"/>
                  <a:pt x="0" y="486279"/>
                </a:cubicBezTo>
                <a:lnTo>
                  <a:pt x="0" y="97258"/>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09130" tIns="236766" rIns="809130" bIns="113830" numCol="1" spcCol="1270" anchor="b" anchorCtr="0">
            <a:noAutofit/>
          </a:bodyPr>
          <a:lstStyle/>
          <a:p>
            <a:pPr marL="114300" lvl="1" indent="-114300" algn="l" defTabSz="533400">
              <a:lnSpc>
                <a:spcPct val="90000"/>
              </a:lnSpc>
              <a:spcBef>
                <a:spcPct val="0"/>
              </a:spcBef>
              <a:spcAft>
                <a:spcPct val="15000"/>
              </a:spcAft>
              <a:buChar char="••"/>
            </a:pPr>
            <a:r>
              <a:rPr lang="en-US" sz="1200" kern="1200"/>
              <a:t>Make sure the project is eligible for LOTUS SI by reading and completing th 'LOTUS SI Eligibility' sheet.</a:t>
            </a:r>
          </a:p>
        </xdr:txBody>
      </xdr:sp>
      <xdr:sp macro="" textlink="">
        <xdr:nvSpPr>
          <xdr:cNvPr id="8" name="Freeform 7">
            <a:hlinkClick xmlns:r="http://schemas.openxmlformats.org/officeDocument/2006/relationships" r:id="rId1" tooltip="LOTUS SI Eligibility"/>
            <a:extLst>
              <a:ext uri="{FF2B5EF4-FFF2-40B4-BE49-F238E27FC236}">
                <a16:creationId xmlns:a16="http://schemas.microsoft.com/office/drawing/2014/main" id="{00000000-0008-0000-0400-000008000000}"/>
              </a:ext>
            </a:extLst>
          </xdr:cNvPr>
          <xdr:cNvSpPr/>
        </xdr:nvSpPr>
        <xdr:spPr>
          <a:xfrm>
            <a:off x="817242" y="5711385"/>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1: LOTUS SI Eligibility</a:t>
            </a:r>
          </a:p>
        </xdr:txBody>
      </xdr:sp>
      <xdr:sp macro="" textlink="">
        <xdr:nvSpPr>
          <xdr:cNvPr id="10" name="Freeform 9">
            <a:extLst>
              <a:ext uri="{FF2B5EF4-FFF2-40B4-BE49-F238E27FC236}">
                <a16:creationId xmlns:a16="http://schemas.microsoft.com/office/drawing/2014/main" id="{00000000-0008-0000-0400-00000A000000}"/>
              </a:ext>
            </a:extLst>
          </xdr:cNvPr>
          <xdr:cNvSpPr/>
        </xdr:nvSpPr>
        <xdr:spPr>
          <a:xfrm>
            <a:off x="314322" y="6605364"/>
            <a:ext cx="10058403" cy="532350"/>
          </a:xfrm>
          <a:custGeom>
            <a:avLst/>
            <a:gdLst>
              <a:gd name="connsiteX0" fmla="*/ 0 w 10058403"/>
              <a:gd name="connsiteY0" fmla="*/ 0 h 532350"/>
              <a:gd name="connsiteX1" fmla="*/ 10058403 w 10058403"/>
              <a:gd name="connsiteY1" fmla="*/ 0 h 532350"/>
              <a:gd name="connsiteX2" fmla="*/ 10058403 w 10058403"/>
              <a:gd name="connsiteY2" fmla="*/ 532350 h 532350"/>
              <a:gd name="connsiteX3" fmla="*/ 0 w 10058403"/>
              <a:gd name="connsiteY3" fmla="*/ 532350 h 532350"/>
              <a:gd name="connsiteX4" fmla="*/ 0 w 10058403"/>
              <a:gd name="connsiteY4" fmla="*/ 0 h 532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58403" h="532350">
                <a:moveTo>
                  <a:pt x="0" y="0"/>
                </a:moveTo>
                <a:lnTo>
                  <a:pt x="10058403" y="0"/>
                </a:lnTo>
                <a:lnTo>
                  <a:pt x="10058403" y="532350"/>
                </a:lnTo>
                <a:lnTo>
                  <a:pt x="0" y="532350"/>
                </a:lnTo>
                <a:lnTo>
                  <a:pt x="0" y="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780644" tIns="208280" rIns="780644" bIns="85344" numCol="1" spcCol="1270" anchor="b" anchorCtr="0">
            <a:noAutofit/>
          </a:bodyPr>
          <a:lstStyle/>
          <a:p>
            <a:pPr marL="114300" lvl="1" indent="-114300" algn="l" defTabSz="533400">
              <a:lnSpc>
                <a:spcPct val="90000"/>
              </a:lnSpc>
              <a:spcBef>
                <a:spcPct val="0"/>
              </a:spcBef>
              <a:spcAft>
                <a:spcPct val="15000"/>
              </a:spcAft>
              <a:buChar char="••"/>
            </a:pPr>
            <a:r>
              <a:rPr lang="en-US" sz="1200" kern="1200"/>
              <a:t>Complete, print, sign and submit the Application Form to VGBC for registering your project</a:t>
            </a:r>
          </a:p>
        </xdr:txBody>
      </xdr:sp>
      <xdr:sp macro="" textlink="">
        <xdr:nvSpPr>
          <xdr:cNvPr id="11" name="Freeform 10">
            <a:hlinkClick xmlns:r="http://schemas.openxmlformats.org/officeDocument/2006/relationships" r:id="rId2" tooltip="Application Form"/>
            <a:extLst>
              <a:ext uri="{FF2B5EF4-FFF2-40B4-BE49-F238E27FC236}">
                <a16:creationId xmlns:a16="http://schemas.microsoft.com/office/drawing/2014/main" id="{00000000-0008-0000-0400-00000B000000}"/>
              </a:ext>
            </a:extLst>
          </xdr:cNvPr>
          <xdr:cNvSpPr/>
        </xdr:nvSpPr>
        <xdr:spPr>
          <a:xfrm>
            <a:off x="817242" y="6485243"/>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2: Application Form</a:t>
            </a:r>
          </a:p>
        </xdr:txBody>
      </xdr:sp>
      <xdr:sp macro="" textlink="">
        <xdr:nvSpPr>
          <xdr:cNvPr id="12" name="Freeform 11">
            <a:extLst>
              <a:ext uri="{FF2B5EF4-FFF2-40B4-BE49-F238E27FC236}">
                <a16:creationId xmlns:a16="http://schemas.microsoft.com/office/drawing/2014/main" id="{00000000-0008-0000-0400-00000C000000}"/>
              </a:ext>
            </a:extLst>
          </xdr:cNvPr>
          <xdr:cNvSpPr/>
        </xdr:nvSpPr>
        <xdr:spPr>
          <a:xfrm>
            <a:off x="314322" y="7328035"/>
            <a:ext cx="10058403" cy="798525"/>
          </a:xfrm>
          <a:custGeom>
            <a:avLst/>
            <a:gdLst>
              <a:gd name="connsiteX0" fmla="*/ 0 w 10058403"/>
              <a:gd name="connsiteY0" fmla="*/ 133090 h 798525"/>
              <a:gd name="connsiteX1" fmla="*/ 133090 w 10058403"/>
              <a:gd name="connsiteY1" fmla="*/ 0 h 798525"/>
              <a:gd name="connsiteX2" fmla="*/ 9925313 w 10058403"/>
              <a:gd name="connsiteY2" fmla="*/ 0 h 798525"/>
              <a:gd name="connsiteX3" fmla="*/ 10058403 w 10058403"/>
              <a:gd name="connsiteY3" fmla="*/ 133090 h 798525"/>
              <a:gd name="connsiteX4" fmla="*/ 10058403 w 10058403"/>
              <a:gd name="connsiteY4" fmla="*/ 665435 h 798525"/>
              <a:gd name="connsiteX5" fmla="*/ 9925313 w 10058403"/>
              <a:gd name="connsiteY5" fmla="*/ 798525 h 798525"/>
              <a:gd name="connsiteX6" fmla="*/ 133090 w 10058403"/>
              <a:gd name="connsiteY6" fmla="*/ 798525 h 798525"/>
              <a:gd name="connsiteX7" fmla="*/ 0 w 10058403"/>
              <a:gd name="connsiteY7" fmla="*/ 665435 h 798525"/>
              <a:gd name="connsiteX8" fmla="*/ 0 w 10058403"/>
              <a:gd name="connsiteY8" fmla="*/ 133090 h 798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798525">
                <a:moveTo>
                  <a:pt x="0" y="133090"/>
                </a:moveTo>
                <a:cubicBezTo>
                  <a:pt x="0" y="59586"/>
                  <a:pt x="59586" y="0"/>
                  <a:pt x="133090" y="0"/>
                </a:cubicBezTo>
                <a:lnTo>
                  <a:pt x="9925313" y="0"/>
                </a:lnTo>
                <a:cubicBezTo>
                  <a:pt x="9998817" y="0"/>
                  <a:pt x="10058403" y="59586"/>
                  <a:pt x="10058403" y="133090"/>
                </a:cubicBezTo>
                <a:lnTo>
                  <a:pt x="10058403" y="665435"/>
                </a:lnTo>
                <a:cubicBezTo>
                  <a:pt x="10058403" y="738939"/>
                  <a:pt x="9998817" y="798525"/>
                  <a:pt x="9925313" y="798525"/>
                </a:cubicBezTo>
                <a:lnTo>
                  <a:pt x="133090" y="798525"/>
                </a:lnTo>
                <a:cubicBezTo>
                  <a:pt x="59586" y="798525"/>
                  <a:pt x="0" y="738939"/>
                  <a:pt x="0" y="665435"/>
                </a:cubicBezTo>
                <a:lnTo>
                  <a:pt x="0" y="13309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19625" tIns="247261" rIns="819625" bIns="124325" numCol="1" spcCol="1270" anchor="b" anchorCtr="0">
            <a:noAutofit/>
          </a:bodyPr>
          <a:lstStyle/>
          <a:p>
            <a:pPr marL="114300" lvl="1" indent="-114300" algn="l" defTabSz="533400">
              <a:lnSpc>
                <a:spcPct val="90000"/>
              </a:lnSpc>
              <a:spcBef>
                <a:spcPct val="0"/>
              </a:spcBef>
              <a:spcAft>
                <a:spcPct val="15000"/>
              </a:spcAft>
              <a:buChar char="••"/>
            </a:pPr>
            <a:r>
              <a:rPr lang="en-US" sz="1200" kern="1200"/>
              <a:t>Complete the sheet with general information on the project</a:t>
            </a:r>
          </a:p>
          <a:p>
            <a:pPr marL="114300" lvl="1" indent="-114300" algn="l" defTabSz="533400">
              <a:lnSpc>
                <a:spcPct val="90000"/>
              </a:lnSpc>
              <a:spcBef>
                <a:spcPct val="0"/>
              </a:spcBef>
              <a:spcAft>
                <a:spcPct val="15000"/>
              </a:spcAft>
              <a:buChar char="••"/>
            </a:pPr>
            <a:r>
              <a:rPr lang="en-US" sz="1200" kern="1200"/>
              <a:t>Select the current submission stage of the project between Pre-assessment</a:t>
            </a:r>
            <a:r>
              <a:rPr lang="en-US" sz="1200" kern="1200" baseline="0"/>
              <a:t> stage </a:t>
            </a:r>
            <a:r>
              <a:rPr lang="en-US" sz="1200" kern="1200"/>
              <a:t>and Certification stage</a:t>
            </a:r>
          </a:p>
        </xdr:txBody>
      </xdr:sp>
      <xdr:sp macro="" textlink="">
        <xdr:nvSpPr>
          <xdr:cNvPr id="13" name="Freeform 12">
            <a:hlinkClick xmlns:r="http://schemas.openxmlformats.org/officeDocument/2006/relationships" r:id="rId3" tooltip="Project information"/>
            <a:extLst>
              <a:ext uri="{FF2B5EF4-FFF2-40B4-BE49-F238E27FC236}">
                <a16:creationId xmlns:a16="http://schemas.microsoft.com/office/drawing/2014/main" id="{00000000-0008-0000-0400-00000D000000}"/>
              </a:ext>
            </a:extLst>
          </xdr:cNvPr>
          <xdr:cNvSpPr/>
        </xdr:nvSpPr>
        <xdr:spPr>
          <a:xfrm>
            <a:off x="817242" y="7207914"/>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3: Project information</a:t>
            </a:r>
          </a:p>
        </xdr:txBody>
      </xdr:sp>
      <xdr:sp macro="" textlink="">
        <xdr:nvSpPr>
          <xdr:cNvPr id="14" name="Freeform 13">
            <a:extLst>
              <a:ext uri="{FF2B5EF4-FFF2-40B4-BE49-F238E27FC236}">
                <a16:creationId xmlns:a16="http://schemas.microsoft.com/office/drawing/2014/main" id="{00000000-0008-0000-0400-00000E000000}"/>
              </a:ext>
            </a:extLst>
          </xdr:cNvPr>
          <xdr:cNvSpPr/>
        </xdr:nvSpPr>
        <xdr:spPr>
          <a:xfrm>
            <a:off x="314322" y="8294595"/>
            <a:ext cx="10058403" cy="1023750"/>
          </a:xfrm>
          <a:custGeom>
            <a:avLst/>
            <a:gdLst>
              <a:gd name="connsiteX0" fmla="*/ 0 w 10058403"/>
              <a:gd name="connsiteY0" fmla="*/ 170628 h 1023750"/>
              <a:gd name="connsiteX1" fmla="*/ 170628 w 10058403"/>
              <a:gd name="connsiteY1" fmla="*/ 0 h 1023750"/>
              <a:gd name="connsiteX2" fmla="*/ 9887775 w 10058403"/>
              <a:gd name="connsiteY2" fmla="*/ 0 h 1023750"/>
              <a:gd name="connsiteX3" fmla="*/ 10058403 w 10058403"/>
              <a:gd name="connsiteY3" fmla="*/ 170628 h 1023750"/>
              <a:gd name="connsiteX4" fmla="*/ 10058403 w 10058403"/>
              <a:gd name="connsiteY4" fmla="*/ 853122 h 1023750"/>
              <a:gd name="connsiteX5" fmla="*/ 9887775 w 10058403"/>
              <a:gd name="connsiteY5" fmla="*/ 1023750 h 1023750"/>
              <a:gd name="connsiteX6" fmla="*/ 170628 w 10058403"/>
              <a:gd name="connsiteY6" fmla="*/ 1023750 h 1023750"/>
              <a:gd name="connsiteX7" fmla="*/ 0 w 10058403"/>
              <a:gd name="connsiteY7" fmla="*/ 853122 h 1023750"/>
              <a:gd name="connsiteX8" fmla="*/ 0 w 10058403"/>
              <a:gd name="connsiteY8" fmla="*/ 170628 h 10237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023750">
                <a:moveTo>
                  <a:pt x="0" y="170628"/>
                </a:moveTo>
                <a:cubicBezTo>
                  <a:pt x="0" y="76393"/>
                  <a:pt x="76393" y="0"/>
                  <a:pt x="170628" y="0"/>
                </a:cubicBezTo>
                <a:lnTo>
                  <a:pt x="9887775" y="0"/>
                </a:lnTo>
                <a:cubicBezTo>
                  <a:pt x="9982010" y="0"/>
                  <a:pt x="10058403" y="76393"/>
                  <a:pt x="10058403" y="170628"/>
                </a:cubicBezTo>
                <a:lnTo>
                  <a:pt x="10058403" y="853122"/>
                </a:lnTo>
                <a:cubicBezTo>
                  <a:pt x="10058403" y="947357"/>
                  <a:pt x="9982010" y="1023750"/>
                  <a:pt x="9887775" y="1023750"/>
                </a:cubicBezTo>
                <a:lnTo>
                  <a:pt x="170628" y="1023750"/>
                </a:lnTo>
                <a:cubicBezTo>
                  <a:pt x="76393" y="1023750"/>
                  <a:pt x="0" y="947357"/>
                  <a:pt x="0" y="853122"/>
                </a:cubicBezTo>
                <a:lnTo>
                  <a:pt x="0" y="170628"/>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0619" tIns="258255" rIns="830619" bIns="135319" numCol="1" spcCol="1270" anchor="b" anchorCtr="0">
            <a:noAutofit/>
          </a:bodyPr>
          <a:lstStyle/>
          <a:p>
            <a:pPr marL="114300" lvl="1" indent="-114300" algn="l" defTabSz="533400">
              <a:lnSpc>
                <a:spcPct val="90000"/>
              </a:lnSpc>
              <a:spcBef>
                <a:spcPct val="0"/>
              </a:spcBef>
              <a:spcAft>
                <a:spcPct val="15000"/>
              </a:spcAft>
              <a:buChar char="••"/>
            </a:pPr>
            <a:r>
              <a:rPr lang="en-US" sz="1200" kern="1200"/>
              <a:t>The LOTUS SI Scorecard is the main sheet of the tool where results are gathered.</a:t>
            </a:r>
          </a:p>
          <a:p>
            <a:pPr marL="114300" lvl="1" indent="-114300" algn="l" defTabSz="533400">
              <a:lnSpc>
                <a:spcPct val="90000"/>
              </a:lnSpc>
              <a:spcBef>
                <a:spcPct val="0"/>
              </a:spcBef>
              <a:spcAft>
                <a:spcPct val="15000"/>
              </a:spcAft>
              <a:buChar char="••"/>
            </a:pPr>
            <a:r>
              <a:rPr lang="en-US" sz="1200" kern="1200"/>
              <a:t>Navigate to the different categories by clicking on the appropriate images. </a:t>
            </a:r>
          </a:p>
          <a:p>
            <a:pPr marL="114300" lvl="1" indent="-114300" algn="l" defTabSz="533400">
              <a:lnSpc>
                <a:spcPct val="90000"/>
              </a:lnSpc>
              <a:spcBef>
                <a:spcPct val="0"/>
              </a:spcBef>
              <a:spcAft>
                <a:spcPct val="15000"/>
              </a:spcAft>
              <a:buChar char="••"/>
            </a:pPr>
            <a:r>
              <a:rPr lang="en-US" sz="1200" kern="1200"/>
              <a:t>The Scorecard is filled automatically as the User provides information in the light red cells of the credit sheets.</a:t>
            </a:r>
          </a:p>
        </xdr:txBody>
      </xdr:sp>
      <xdr:sp macro="" textlink="">
        <xdr:nvSpPr>
          <xdr:cNvPr id="18" name="Freeform 17">
            <a:hlinkClick xmlns:r="http://schemas.openxmlformats.org/officeDocument/2006/relationships" r:id="rId4" tooltip="LOTUS SI Scorecard"/>
            <a:extLst>
              <a:ext uri="{FF2B5EF4-FFF2-40B4-BE49-F238E27FC236}">
                <a16:creationId xmlns:a16="http://schemas.microsoft.com/office/drawing/2014/main" id="{00000000-0008-0000-0400-000012000000}"/>
              </a:ext>
            </a:extLst>
          </xdr:cNvPr>
          <xdr:cNvSpPr/>
        </xdr:nvSpPr>
        <xdr:spPr>
          <a:xfrm>
            <a:off x="817242" y="8196760"/>
            <a:ext cx="7040882" cy="289715"/>
          </a:xfrm>
          <a:custGeom>
            <a:avLst/>
            <a:gdLst>
              <a:gd name="connsiteX0" fmla="*/ 0 w 7040882"/>
              <a:gd name="connsiteY0" fmla="*/ 48287 h 289715"/>
              <a:gd name="connsiteX1" fmla="*/ 48287 w 7040882"/>
              <a:gd name="connsiteY1" fmla="*/ 0 h 289715"/>
              <a:gd name="connsiteX2" fmla="*/ 6992595 w 7040882"/>
              <a:gd name="connsiteY2" fmla="*/ 0 h 289715"/>
              <a:gd name="connsiteX3" fmla="*/ 7040882 w 7040882"/>
              <a:gd name="connsiteY3" fmla="*/ 48287 h 289715"/>
              <a:gd name="connsiteX4" fmla="*/ 7040882 w 7040882"/>
              <a:gd name="connsiteY4" fmla="*/ 241428 h 289715"/>
              <a:gd name="connsiteX5" fmla="*/ 6992595 w 7040882"/>
              <a:gd name="connsiteY5" fmla="*/ 289715 h 289715"/>
              <a:gd name="connsiteX6" fmla="*/ 48287 w 7040882"/>
              <a:gd name="connsiteY6" fmla="*/ 289715 h 289715"/>
              <a:gd name="connsiteX7" fmla="*/ 0 w 7040882"/>
              <a:gd name="connsiteY7" fmla="*/ 241428 h 289715"/>
              <a:gd name="connsiteX8" fmla="*/ 0 w 7040882"/>
              <a:gd name="connsiteY8" fmla="*/ 48287 h 2897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289715">
                <a:moveTo>
                  <a:pt x="0" y="48287"/>
                </a:moveTo>
                <a:cubicBezTo>
                  <a:pt x="0" y="21619"/>
                  <a:pt x="21619" y="0"/>
                  <a:pt x="48287" y="0"/>
                </a:cubicBezTo>
                <a:lnTo>
                  <a:pt x="6992595" y="0"/>
                </a:lnTo>
                <a:cubicBezTo>
                  <a:pt x="7019263" y="0"/>
                  <a:pt x="7040882" y="21619"/>
                  <a:pt x="7040882" y="48287"/>
                </a:cubicBezTo>
                <a:lnTo>
                  <a:pt x="7040882" y="241428"/>
                </a:lnTo>
                <a:cubicBezTo>
                  <a:pt x="7040882" y="268096"/>
                  <a:pt x="7019263" y="289715"/>
                  <a:pt x="6992595" y="289715"/>
                </a:cubicBezTo>
                <a:lnTo>
                  <a:pt x="48287" y="289715"/>
                </a:lnTo>
                <a:cubicBezTo>
                  <a:pt x="21619" y="289715"/>
                  <a:pt x="0" y="268096"/>
                  <a:pt x="0" y="241428"/>
                </a:cubicBezTo>
                <a:lnTo>
                  <a:pt x="0" y="48287"/>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0272" tIns="14143" rIns="280272" bIns="14143" numCol="1" spcCol="1270" anchor="ctr" anchorCtr="0">
            <a:noAutofit/>
          </a:bodyPr>
          <a:lstStyle/>
          <a:p>
            <a:pPr lvl="0" algn="l" defTabSz="800100">
              <a:lnSpc>
                <a:spcPct val="90000"/>
              </a:lnSpc>
              <a:spcBef>
                <a:spcPct val="0"/>
              </a:spcBef>
              <a:spcAft>
                <a:spcPct val="35000"/>
              </a:spcAft>
            </a:pPr>
            <a:r>
              <a:rPr lang="en-US" sz="1800" kern="1200"/>
              <a:t>Step 4: LOTUS SI Scorecard</a:t>
            </a:r>
          </a:p>
        </xdr:txBody>
      </xdr:sp>
      <xdr:sp macro="" textlink="">
        <xdr:nvSpPr>
          <xdr:cNvPr id="20" name="Freeform 19">
            <a:extLst>
              <a:ext uri="{FF2B5EF4-FFF2-40B4-BE49-F238E27FC236}">
                <a16:creationId xmlns:a16="http://schemas.microsoft.com/office/drawing/2014/main" id="{00000000-0008-0000-0400-000014000000}"/>
              </a:ext>
            </a:extLst>
          </xdr:cNvPr>
          <xdr:cNvSpPr/>
        </xdr:nvSpPr>
        <xdr:spPr>
          <a:xfrm>
            <a:off x="314322" y="9508666"/>
            <a:ext cx="10058403" cy="798525"/>
          </a:xfrm>
          <a:custGeom>
            <a:avLst/>
            <a:gdLst>
              <a:gd name="connsiteX0" fmla="*/ 0 w 10058403"/>
              <a:gd name="connsiteY0" fmla="*/ 133090 h 798525"/>
              <a:gd name="connsiteX1" fmla="*/ 133090 w 10058403"/>
              <a:gd name="connsiteY1" fmla="*/ 0 h 798525"/>
              <a:gd name="connsiteX2" fmla="*/ 9925313 w 10058403"/>
              <a:gd name="connsiteY2" fmla="*/ 0 h 798525"/>
              <a:gd name="connsiteX3" fmla="*/ 10058403 w 10058403"/>
              <a:gd name="connsiteY3" fmla="*/ 133090 h 798525"/>
              <a:gd name="connsiteX4" fmla="*/ 10058403 w 10058403"/>
              <a:gd name="connsiteY4" fmla="*/ 665435 h 798525"/>
              <a:gd name="connsiteX5" fmla="*/ 9925313 w 10058403"/>
              <a:gd name="connsiteY5" fmla="*/ 798525 h 798525"/>
              <a:gd name="connsiteX6" fmla="*/ 133090 w 10058403"/>
              <a:gd name="connsiteY6" fmla="*/ 798525 h 798525"/>
              <a:gd name="connsiteX7" fmla="*/ 0 w 10058403"/>
              <a:gd name="connsiteY7" fmla="*/ 665435 h 798525"/>
              <a:gd name="connsiteX8" fmla="*/ 0 w 10058403"/>
              <a:gd name="connsiteY8" fmla="*/ 133090 h 798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798525">
                <a:moveTo>
                  <a:pt x="0" y="133090"/>
                </a:moveTo>
                <a:cubicBezTo>
                  <a:pt x="0" y="59586"/>
                  <a:pt x="59586" y="0"/>
                  <a:pt x="133090" y="0"/>
                </a:cubicBezTo>
                <a:lnTo>
                  <a:pt x="9925313" y="0"/>
                </a:lnTo>
                <a:cubicBezTo>
                  <a:pt x="9998817" y="0"/>
                  <a:pt x="10058403" y="59586"/>
                  <a:pt x="10058403" y="133090"/>
                </a:cubicBezTo>
                <a:lnTo>
                  <a:pt x="10058403" y="665435"/>
                </a:lnTo>
                <a:cubicBezTo>
                  <a:pt x="10058403" y="738939"/>
                  <a:pt x="9998817" y="798525"/>
                  <a:pt x="9925313" y="798525"/>
                </a:cubicBezTo>
                <a:lnTo>
                  <a:pt x="133090" y="798525"/>
                </a:lnTo>
                <a:cubicBezTo>
                  <a:pt x="59586" y="798525"/>
                  <a:pt x="0" y="738939"/>
                  <a:pt x="0" y="665435"/>
                </a:cubicBezTo>
                <a:lnTo>
                  <a:pt x="0" y="13309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19625" tIns="247261" rIns="819625" bIns="124325" numCol="1" spcCol="1270" anchor="b" anchorCtr="0">
            <a:noAutofit/>
          </a:bodyPr>
          <a:lstStyle/>
          <a:p>
            <a:pPr marL="114300" lvl="1" indent="-114300" algn="l" defTabSz="533400">
              <a:lnSpc>
                <a:spcPct val="90000"/>
              </a:lnSpc>
              <a:spcBef>
                <a:spcPct val="0"/>
              </a:spcBef>
              <a:spcAft>
                <a:spcPct val="15000"/>
              </a:spcAft>
              <a:buChar char="••"/>
            </a:pPr>
            <a:r>
              <a:rPr lang="en-US" sz="1200" kern="1200"/>
              <a:t>There is a main spreadsheet for each category providing an overview of the category </a:t>
            </a:r>
          </a:p>
          <a:p>
            <a:pPr marL="114300" lvl="1" indent="-114300" algn="l" defTabSz="533400">
              <a:lnSpc>
                <a:spcPct val="90000"/>
              </a:lnSpc>
              <a:spcBef>
                <a:spcPct val="0"/>
              </a:spcBef>
              <a:spcAft>
                <a:spcPct val="15000"/>
              </a:spcAft>
              <a:buChar char="••"/>
            </a:pPr>
            <a:r>
              <a:rPr lang="en-US" sz="1200" kern="1200"/>
              <a:t>Navigate to the different credits of each category from these spreadsheets.</a:t>
            </a:r>
          </a:p>
        </xdr:txBody>
      </xdr:sp>
      <xdr:sp macro="" textlink="">
        <xdr:nvSpPr>
          <xdr:cNvPr id="24" name="Freeform 23">
            <a:extLst>
              <a:ext uri="{FF2B5EF4-FFF2-40B4-BE49-F238E27FC236}">
                <a16:creationId xmlns:a16="http://schemas.microsoft.com/office/drawing/2014/main" id="{00000000-0008-0000-0400-000018000000}"/>
              </a:ext>
            </a:extLst>
          </xdr:cNvPr>
          <xdr:cNvSpPr/>
        </xdr:nvSpPr>
        <xdr:spPr>
          <a:xfrm>
            <a:off x="817242" y="9388545"/>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5: Category sheets</a:t>
            </a:r>
          </a:p>
        </xdr:txBody>
      </xdr:sp>
      <xdr:sp macro="" textlink="">
        <xdr:nvSpPr>
          <xdr:cNvPr id="26" name="Freeform 25">
            <a:extLst>
              <a:ext uri="{FF2B5EF4-FFF2-40B4-BE49-F238E27FC236}">
                <a16:creationId xmlns:a16="http://schemas.microsoft.com/office/drawing/2014/main" id="{00000000-0008-0000-0400-00001A000000}"/>
              </a:ext>
            </a:extLst>
          </xdr:cNvPr>
          <xdr:cNvSpPr/>
        </xdr:nvSpPr>
        <xdr:spPr>
          <a:xfrm>
            <a:off x="314322" y="10497512"/>
            <a:ext cx="10058403" cy="1233633"/>
          </a:xfrm>
          <a:custGeom>
            <a:avLst/>
            <a:gdLst>
              <a:gd name="connsiteX0" fmla="*/ 0 w 10058403"/>
              <a:gd name="connsiteY0" fmla="*/ 195570 h 1173399"/>
              <a:gd name="connsiteX1" fmla="*/ 195570 w 10058403"/>
              <a:gd name="connsiteY1" fmla="*/ 0 h 1173399"/>
              <a:gd name="connsiteX2" fmla="*/ 9862833 w 10058403"/>
              <a:gd name="connsiteY2" fmla="*/ 0 h 1173399"/>
              <a:gd name="connsiteX3" fmla="*/ 10058403 w 10058403"/>
              <a:gd name="connsiteY3" fmla="*/ 195570 h 1173399"/>
              <a:gd name="connsiteX4" fmla="*/ 10058403 w 10058403"/>
              <a:gd name="connsiteY4" fmla="*/ 977829 h 1173399"/>
              <a:gd name="connsiteX5" fmla="*/ 9862833 w 10058403"/>
              <a:gd name="connsiteY5" fmla="*/ 1173399 h 1173399"/>
              <a:gd name="connsiteX6" fmla="*/ 195570 w 10058403"/>
              <a:gd name="connsiteY6" fmla="*/ 1173399 h 1173399"/>
              <a:gd name="connsiteX7" fmla="*/ 0 w 10058403"/>
              <a:gd name="connsiteY7" fmla="*/ 977829 h 1173399"/>
              <a:gd name="connsiteX8" fmla="*/ 0 w 10058403"/>
              <a:gd name="connsiteY8" fmla="*/ 195570 h 11733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173399">
                <a:moveTo>
                  <a:pt x="0" y="195570"/>
                </a:moveTo>
                <a:cubicBezTo>
                  <a:pt x="0" y="87560"/>
                  <a:pt x="87560" y="0"/>
                  <a:pt x="195570" y="0"/>
                </a:cubicBezTo>
                <a:lnTo>
                  <a:pt x="9862833" y="0"/>
                </a:lnTo>
                <a:cubicBezTo>
                  <a:pt x="9970843" y="0"/>
                  <a:pt x="10058403" y="87560"/>
                  <a:pt x="10058403" y="195570"/>
                </a:cubicBezTo>
                <a:lnTo>
                  <a:pt x="10058403" y="977829"/>
                </a:lnTo>
                <a:cubicBezTo>
                  <a:pt x="10058403" y="1085839"/>
                  <a:pt x="9970843" y="1173399"/>
                  <a:pt x="9862833" y="1173399"/>
                </a:cubicBezTo>
                <a:lnTo>
                  <a:pt x="195570" y="1173399"/>
                </a:lnTo>
                <a:cubicBezTo>
                  <a:pt x="87560" y="1173399"/>
                  <a:pt x="0" y="1085839"/>
                  <a:pt x="0" y="977829"/>
                </a:cubicBezTo>
                <a:lnTo>
                  <a:pt x="0" y="195570"/>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7925" tIns="265561" rIns="837925" bIns="142625"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separate spreadsheet for each LOTUS Small Interiors credit.</a:t>
            </a:r>
          </a:p>
          <a:p>
            <a:pPr marL="114300" lvl="1" indent="-114300" algn="l" defTabSz="533400">
              <a:lnSpc>
                <a:spcPct val="90000"/>
              </a:lnSpc>
              <a:spcBef>
                <a:spcPct val="0"/>
              </a:spcBef>
              <a:spcAft>
                <a:spcPct val="15000"/>
              </a:spcAft>
              <a:buChar char="••"/>
            </a:pPr>
            <a:r>
              <a:rPr lang="en-US" sz="1200" kern="1200"/>
              <a:t>This sheet provides the key information and instructions for the credit.</a:t>
            </a:r>
          </a:p>
          <a:p>
            <a:pPr marL="114300" lvl="1" indent="-114300" algn="l" defTabSz="533400">
              <a:lnSpc>
                <a:spcPct val="90000"/>
              </a:lnSpc>
              <a:spcBef>
                <a:spcPct val="0"/>
              </a:spcBef>
              <a:spcAft>
                <a:spcPct val="15000"/>
              </a:spcAft>
              <a:buChar char="••"/>
            </a:pPr>
            <a:r>
              <a:rPr lang="en-US" sz="1200" kern="1200"/>
              <a:t>Read the contents of the credit sheet carefully and fill in appropriate information in the light-red coloured cells.</a:t>
            </a:r>
          </a:p>
          <a:p>
            <a:pPr marL="114300" lvl="1" indent="-114300" algn="l" defTabSz="533400">
              <a:lnSpc>
                <a:spcPct val="90000"/>
              </a:lnSpc>
              <a:spcBef>
                <a:spcPct val="0"/>
              </a:spcBef>
              <a:spcAft>
                <a:spcPct val="15000"/>
              </a:spcAft>
              <a:buChar char="••"/>
            </a:pPr>
            <a:r>
              <a:rPr lang="en-US" sz="1200" kern="1200"/>
              <a:t>The User Tool will automatically perform all the calculations and provide the results.</a:t>
            </a:r>
          </a:p>
          <a:p>
            <a:pPr marL="114300" lvl="1" indent="-114300" algn="l" defTabSz="533400">
              <a:lnSpc>
                <a:spcPct val="90000"/>
              </a:lnSpc>
              <a:spcBef>
                <a:spcPct val="0"/>
              </a:spcBef>
              <a:spcAft>
                <a:spcPct val="15000"/>
              </a:spcAft>
              <a:buChar char="••"/>
            </a:pPr>
            <a:r>
              <a:rPr lang="en-US" sz="1200" kern="1200" baseline="0"/>
              <a:t>To provide more information or comments on a credit, the Applicant can complete the 'Additional Information' sheet</a:t>
            </a:r>
            <a:endParaRPr lang="en-US" sz="1200" kern="1200"/>
          </a:p>
        </xdr:txBody>
      </xdr:sp>
      <xdr:sp macro="" textlink="">
        <xdr:nvSpPr>
          <xdr:cNvPr id="30" name="Freeform 29">
            <a:extLst>
              <a:ext uri="{FF2B5EF4-FFF2-40B4-BE49-F238E27FC236}">
                <a16:creationId xmlns:a16="http://schemas.microsoft.com/office/drawing/2014/main" id="{00000000-0008-0000-0400-00001E000000}"/>
              </a:ext>
            </a:extLst>
          </xdr:cNvPr>
          <xdr:cNvSpPr/>
        </xdr:nvSpPr>
        <xdr:spPr>
          <a:xfrm>
            <a:off x="817242" y="10377391"/>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6: Credit sheets</a:t>
            </a:r>
          </a:p>
        </xdr:txBody>
      </xdr:sp>
      <xdr:sp macro="" textlink="">
        <xdr:nvSpPr>
          <xdr:cNvPr id="31" name="Freeform 30">
            <a:extLst>
              <a:ext uri="{FF2B5EF4-FFF2-40B4-BE49-F238E27FC236}">
                <a16:creationId xmlns:a16="http://schemas.microsoft.com/office/drawing/2014/main" id="{00000000-0008-0000-0400-00001F000000}"/>
              </a:ext>
            </a:extLst>
          </xdr:cNvPr>
          <xdr:cNvSpPr/>
        </xdr:nvSpPr>
        <xdr:spPr>
          <a:xfrm>
            <a:off x="314322" y="11926512"/>
            <a:ext cx="10058403" cy="1034465"/>
          </a:xfrm>
          <a:custGeom>
            <a:avLst/>
            <a:gdLst>
              <a:gd name="connsiteX0" fmla="*/ 0 w 10058403"/>
              <a:gd name="connsiteY0" fmla="*/ 172414 h 1034465"/>
              <a:gd name="connsiteX1" fmla="*/ 172414 w 10058403"/>
              <a:gd name="connsiteY1" fmla="*/ 0 h 1034465"/>
              <a:gd name="connsiteX2" fmla="*/ 9885989 w 10058403"/>
              <a:gd name="connsiteY2" fmla="*/ 0 h 1034465"/>
              <a:gd name="connsiteX3" fmla="*/ 10058403 w 10058403"/>
              <a:gd name="connsiteY3" fmla="*/ 172414 h 1034465"/>
              <a:gd name="connsiteX4" fmla="*/ 10058403 w 10058403"/>
              <a:gd name="connsiteY4" fmla="*/ 862051 h 1034465"/>
              <a:gd name="connsiteX5" fmla="*/ 9885989 w 10058403"/>
              <a:gd name="connsiteY5" fmla="*/ 1034465 h 1034465"/>
              <a:gd name="connsiteX6" fmla="*/ 172414 w 10058403"/>
              <a:gd name="connsiteY6" fmla="*/ 1034465 h 1034465"/>
              <a:gd name="connsiteX7" fmla="*/ 0 w 10058403"/>
              <a:gd name="connsiteY7" fmla="*/ 862051 h 1034465"/>
              <a:gd name="connsiteX8" fmla="*/ 0 w 10058403"/>
              <a:gd name="connsiteY8" fmla="*/ 172414 h 1034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0058403" h="1034465">
                <a:moveTo>
                  <a:pt x="0" y="172414"/>
                </a:moveTo>
                <a:cubicBezTo>
                  <a:pt x="0" y="77192"/>
                  <a:pt x="77192" y="0"/>
                  <a:pt x="172414" y="0"/>
                </a:cubicBezTo>
                <a:lnTo>
                  <a:pt x="9885989" y="0"/>
                </a:lnTo>
                <a:cubicBezTo>
                  <a:pt x="9981211" y="0"/>
                  <a:pt x="10058403" y="77192"/>
                  <a:pt x="10058403" y="172414"/>
                </a:cubicBezTo>
                <a:lnTo>
                  <a:pt x="10058403" y="862051"/>
                </a:lnTo>
                <a:cubicBezTo>
                  <a:pt x="10058403" y="957273"/>
                  <a:pt x="9981211" y="1034465"/>
                  <a:pt x="9885989" y="1034465"/>
                </a:cubicBezTo>
                <a:lnTo>
                  <a:pt x="172414" y="1034465"/>
                </a:lnTo>
                <a:cubicBezTo>
                  <a:pt x="77192" y="1034465"/>
                  <a:pt x="0" y="957273"/>
                  <a:pt x="0" y="862051"/>
                </a:cubicBezTo>
                <a:lnTo>
                  <a:pt x="0" y="172414"/>
                </a:lnTo>
                <a:close/>
              </a:path>
            </a:pathLst>
          </a:custGeom>
          <a:solidFill>
            <a:schemeClr val="bg1">
              <a:lumMod val="85000"/>
              <a:alpha val="90000"/>
            </a:schemeClr>
          </a:solidFill>
          <a:ln>
            <a:solidFill>
              <a:schemeClr val="bg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831142" tIns="258778" rIns="831142" bIns="135842" numCol="1" spcCol="1270" anchor="t" anchorCtr="0">
            <a:noAutofit/>
          </a:bodyPr>
          <a:lstStyle/>
          <a:p>
            <a:pPr marL="114300" lvl="1" indent="-114300" algn="l" defTabSz="533400">
              <a:lnSpc>
                <a:spcPct val="90000"/>
              </a:lnSpc>
              <a:spcBef>
                <a:spcPct val="0"/>
              </a:spcBef>
              <a:spcAft>
                <a:spcPct val="15000"/>
              </a:spcAft>
              <a:buChar char="••"/>
            </a:pPr>
            <a:r>
              <a:rPr lang="en-US" sz="1200" kern="1200"/>
              <a:t>Refer to the 2 sheets 'Pre-assessment checklist' and 'Certification checklist ' for a list of mandatory requirements before making submissions for pre-assessment, provisional certification and final certification stage.</a:t>
            </a:r>
          </a:p>
          <a:p>
            <a:pPr marL="114300" lvl="1" indent="-114300" algn="l" defTabSz="533400">
              <a:lnSpc>
                <a:spcPct val="90000"/>
              </a:lnSpc>
              <a:spcBef>
                <a:spcPct val="0"/>
              </a:spcBef>
              <a:spcAft>
                <a:spcPct val="15000"/>
              </a:spcAft>
              <a:buChar char="••"/>
            </a:pPr>
            <a:endParaRPr lang="en-US" sz="1200" kern="1200"/>
          </a:p>
        </xdr:txBody>
      </xdr:sp>
      <xdr:sp macro="" textlink="">
        <xdr:nvSpPr>
          <xdr:cNvPr id="32" name="Freeform 31">
            <a:extLst>
              <a:ext uri="{FF2B5EF4-FFF2-40B4-BE49-F238E27FC236}">
                <a16:creationId xmlns:a16="http://schemas.microsoft.com/office/drawing/2014/main" id="{00000000-0008-0000-0400-000020000000}"/>
              </a:ext>
            </a:extLst>
          </xdr:cNvPr>
          <xdr:cNvSpPr/>
        </xdr:nvSpPr>
        <xdr:spPr>
          <a:xfrm>
            <a:off x="817242" y="11787740"/>
            <a:ext cx="7040882" cy="312000"/>
          </a:xfrm>
          <a:custGeom>
            <a:avLst/>
            <a:gdLst>
              <a:gd name="connsiteX0" fmla="*/ 0 w 7040882"/>
              <a:gd name="connsiteY0" fmla="*/ 52001 h 312000"/>
              <a:gd name="connsiteX1" fmla="*/ 52001 w 7040882"/>
              <a:gd name="connsiteY1" fmla="*/ 0 h 312000"/>
              <a:gd name="connsiteX2" fmla="*/ 6988881 w 7040882"/>
              <a:gd name="connsiteY2" fmla="*/ 0 h 312000"/>
              <a:gd name="connsiteX3" fmla="*/ 7040882 w 7040882"/>
              <a:gd name="connsiteY3" fmla="*/ 52001 h 312000"/>
              <a:gd name="connsiteX4" fmla="*/ 7040882 w 7040882"/>
              <a:gd name="connsiteY4" fmla="*/ 259999 h 312000"/>
              <a:gd name="connsiteX5" fmla="*/ 6988881 w 7040882"/>
              <a:gd name="connsiteY5" fmla="*/ 312000 h 312000"/>
              <a:gd name="connsiteX6" fmla="*/ 52001 w 7040882"/>
              <a:gd name="connsiteY6" fmla="*/ 312000 h 312000"/>
              <a:gd name="connsiteX7" fmla="*/ 0 w 7040882"/>
              <a:gd name="connsiteY7" fmla="*/ 259999 h 312000"/>
              <a:gd name="connsiteX8" fmla="*/ 0 w 7040882"/>
              <a:gd name="connsiteY8" fmla="*/ 52001 h 312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040882" h="312000">
                <a:moveTo>
                  <a:pt x="0" y="52001"/>
                </a:moveTo>
                <a:cubicBezTo>
                  <a:pt x="0" y="23282"/>
                  <a:pt x="23282" y="0"/>
                  <a:pt x="52001" y="0"/>
                </a:cubicBezTo>
                <a:lnTo>
                  <a:pt x="6988881" y="0"/>
                </a:lnTo>
                <a:cubicBezTo>
                  <a:pt x="7017600" y="0"/>
                  <a:pt x="7040882" y="23282"/>
                  <a:pt x="7040882" y="52001"/>
                </a:cubicBezTo>
                <a:lnTo>
                  <a:pt x="7040882" y="259999"/>
                </a:lnTo>
                <a:cubicBezTo>
                  <a:pt x="7040882" y="288718"/>
                  <a:pt x="7017600" y="312000"/>
                  <a:pt x="6988881" y="312000"/>
                </a:cubicBezTo>
                <a:lnTo>
                  <a:pt x="52001" y="312000"/>
                </a:lnTo>
                <a:cubicBezTo>
                  <a:pt x="23282" y="312000"/>
                  <a:pt x="0" y="288718"/>
                  <a:pt x="0" y="259999"/>
                </a:cubicBezTo>
                <a:lnTo>
                  <a:pt x="0" y="52001"/>
                </a:lnTo>
                <a:close/>
              </a:path>
            </a:pathLst>
          </a:custGeom>
          <a:solidFill>
            <a:srgbClr val="984806"/>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281360" tIns="15231" rIns="281360" bIns="15231" numCol="1" spcCol="1270" anchor="ctr" anchorCtr="0">
            <a:noAutofit/>
          </a:bodyPr>
          <a:lstStyle/>
          <a:p>
            <a:pPr lvl="0" algn="l" defTabSz="800100">
              <a:lnSpc>
                <a:spcPct val="90000"/>
              </a:lnSpc>
              <a:spcBef>
                <a:spcPct val="0"/>
              </a:spcBef>
              <a:spcAft>
                <a:spcPct val="35000"/>
              </a:spcAft>
            </a:pPr>
            <a:r>
              <a:rPr lang="en-US" sz="1800" kern="1200"/>
              <a:t>Step 7: Submission Checklists</a:t>
            </a:r>
          </a:p>
        </xdr:txBody>
      </xdr:sp>
    </xdr:grpSp>
    <xdr:clientData/>
  </xdr:twoCellAnchor>
  <xdr:twoCellAnchor>
    <xdr:from>
      <xdr:col>2</xdr:col>
      <xdr:colOff>428625</xdr:colOff>
      <xdr:row>64</xdr:row>
      <xdr:rowOff>171450</xdr:rowOff>
    </xdr:from>
    <xdr:to>
      <xdr:col>5</xdr:col>
      <xdr:colOff>918825</xdr:colOff>
      <xdr:row>66</xdr:row>
      <xdr:rowOff>95400</xdr:rowOff>
    </xdr:to>
    <xdr:sp macro="" textlink="">
      <xdr:nvSpPr>
        <xdr:cNvPr id="15" name="Rectangle à coins arrondis 2">
          <a:hlinkClick xmlns:r="http://schemas.openxmlformats.org/officeDocument/2006/relationships" r:id="rId5" tooltip="Pre-assessment checklist"/>
          <a:extLst>
            <a:ext uri="{FF2B5EF4-FFF2-40B4-BE49-F238E27FC236}">
              <a16:creationId xmlns:a16="http://schemas.microsoft.com/office/drawing/2014/main" id="{00000000-0008-0000-0400-00000F000000}"/>
            </a:ext>
          </a:extLst>
        </xdr:cNvPr>
        <xdr:cNvSpPr>
          <a:spLocks noChangeArrowheads="1"/>
        </xdr:cNvSpPr>
      </xdr:nvSpPr>
      <xdr:spPr bwMode="auto">
        <a:xfrm>
          <a:off x="1447800" y="12820650"/>
          <a:ext cx="270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t"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a:solidFill>
                <a:srgbClr val="984806"/>
              </a:solidFill>
              <a:effectLst/>
              <a:latin typeface="+mn-lt"/>
              <a:ea typeface="+mn-ea"/>
              <a:cs typeface="+mn-cs"/>
            </a:rPr>
            <a:t>Pre-assessment checklist</a:t>
          </a:r>
          <a:endParaRPr lang="en-US" sz="1400" b="1">
            <a:solidFill>
              <a:srgbClr val="984806"/>
            </a:solidFill>
            <a:effectLst/>
          </a:endParaRPr>
        </a:p>
      </xdr:txBody>
    </xdr:sp>
    <xdr:clientData/>
  </xdr:twoCellAnchor>
  <xdr:twoCellAnchor>
    <xdr:from>
      <xdr:col>8</xdr:col>
      <xdr:colOff>390525</xdr:colOff>
      <xdr:row>64</xdr:row>
      <xdr:rowOff>180975</xdr:rowOff>
    </xdr:from>
    <xdr:to>
      <xdr:col>11</xdr:col>
      <xdr:colOff>490200</xdr:colOff>
      <xdr:row>66</xdr:row>
      <xdr:rowOff>104925</xdr:rowOff>
    </xdr:to>
    <xdr:sp macro="" textlink="">
      <xdr:nvSpPr>
        <xdr:cNvPr id="17" name="Rectangle à coins arrondis 2">
          <a:hlinkClick xmlns:r="http://schemas.openxmlformats.org/officeDocument/2006/relationships" r:id="rId6" tooltip="Full Certification checklist"/>
          <a:extLst>
            <a:ext uri="{FF2B5EF4-FFF2-40B4-BE49-F238E27FC236}">
              <a16:creationId xmlns:a16="http://schemas.microsoft.com/office/drawing/2014/main" id="{00000000-0008-0000-0400-000011000000}"/>
            </a:ext>
          </a:extLst>
        </xdr:cNvPr>
        <xdr:cNvSpPr>
          <a:spLocks noChangeArrowheads="1"/>
        </xdr:cNvSpPr>
      </xdr:nvSpPr>
      <xdr:spPr bwMode="auto">
        <a:xfrm>
          <a:off x="5972175" y="12830175"/>
          <a:ext cx="270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 typeface="Arial" panose="020B0604020202020204" pitchFamily="34" charset="0"/>
            <a:buNone/>
            <a:tabLst/>
            <a:defRPr sz="1000"/>
          </a:pPr>
          <a:r>
            <a:rPr lang="en-US" sz="1400" b="1">
              <a:solidFill>
                <a:srgbClr val="984806"/>
              </a:solidFill>
              <a:effectLst/>
              <a:latin typeface="+mn-lt"/>
              <a:ea typeface="+mn-ea"/>
              <a:cs typeface="+mn-cs"/>
            </a:rPr>
            <a:t>Certification checklist</a:t>
          </a:r>
          <a:endParaRPr lang="en-US" sz="1400" b="1">
            <a:solidFill>
              <a:srgbClr val="984806"/>
            </a:solidFill>
            <a:effectLst/>
          </a:endParaRPr>
        </a:p>
      </xdr:txBody>
    </xdr:sp>
    <xdr:clientData/>
  </xdr:twoCellAnchor>
  <xdr:twoCellAnchor>
    <xdr:from>
      <xdr:col>11</xdr:col>
      <xdr:colOff>47625</xdr:colOff>
      <xdr:row>1</xdr:row>
      <xdr:rowOff>38100</xdr:rowOff>
    </xdr:from>
    <xdr:to>
      <xdr:col>12</xdr:col>
      <xdr:colOff>647325</xdr:colOff>
      <xdr:row>2</xdr:row>
      <xdr:rowOff>115500</xdr:rowOff>
    </xdr:to>
    <xdr:sp macro="" textlink="">
      <xdr:nvSpPr>
        <xdr:cNvPr id="19" name="Rectangle à coins arrondis 2">
          <a:hlinkClick xmlns:r="http://schemas.openxmlformats.org/officeDocument/2006/relationships" r:id="rId7" tooltip="Recommendations"/>
          <a:extLst>
            <a:ext uri="{FF2B5EF4-FFF2-40B4-BE49-F238E27FC236}">
              <a16:creationId xmlns:a16="http://schemas.microsoft.com/office/drawing/2014/main" id="{00000000-0008-0000-0400-000013000000}"/>
            </a:ext>
          </a:extLst>
        </xdr:cNvPr>
        <xdr:cNvSpPr>
          <a:spLocks noChangeArrowheads="1"/>
        </xdr:cNvSpPr>
      </xdr:nvSpPr>
      <xdr:spPr bwMode="auto">
        <a:xfrm>
          <a:off x="8134350" y="419100"/>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84806"/>
            </a:solidFill>
            <a:latin typeface="Arial" pitchFamily="34" charset="0"/>
            <a:cs typeface="Arial" pitchFamily="34" charset="0"/>
          </a:endParaRPr>
        </a:p>
      </xdr:txBody>
    </xdr:sp>
    <xdr:clientData/>
  </xdr:twoCellAnchor>
  <xdr:twoCellAnchor>
    <xdr:from>
      <xdr:col>12</xdr:col>
      <xdr:colOff>733800</xdr:colOff>
      <xdr:row>1</xdr:row>
      <xdr:rowOff>38101</xdr:rowOff>
    </xdr:from>
    <xdr:to>
      <xdr:col>14</xdr:col>
      <xdr:colOff>400050</xdr:colOff>
      <xdr:row>2</xdr:row>
      <xdr:rowOff>115501</xdr:rowOff>
    </xdr:to>
    <xdr:sp macro="" textlink="">
      <xdr:nvSpPr>
        <xdr:cNvPr id="21" name="Rectangle à coins arrondis 2">
          <a:hlinkClick xmlns:r="http://schemas.openxmlformats.org/officeDocument/2006/relationships" r:id="rId8" tooltip="Scorecard"/>
          <a:extLst>
            <a:ext uri="{FF2B5EF4-FFF2-40B4-BE49-F238E27FC236}">
              <a16:creationId xmlns:a16="http://schemas.microsoft.com/office/drawing/2014/main" id="{00000000-0008-0000-0400-000015000000}"/>
            </a:ext>
          </a:extLst>
        </xdr:cNvPr>
        <xdr:cNvSpPr>
          <a:spLocks noChangeArrowheads="1"/>
        </xdr:cNvSpPr>
      </xdr:nvSpPr>
      <xdr:spPr bwMode="auto">
        <a:xfrm>
          <a:off x="9696825" y="419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9</xdr:col>
      <xdr:colOff>371475</xdr:colOff>
      <xdr:row>1</xdr:row>
      <xdr:rowOff>28575</xdr:rowOff>
    </xdr:from>
    <xdr:to>
      <xdr:col>10</xdr:col>
      <xdr:colOff>828300</xdr:colOff>
      <xdr:row>2</xdr:row>
      <xdr:rowOff>105975</xdr:rowOff>
    </xdr:to>
    <xdr:sp macro="" textlink="">
      <xdr:nvSpPr>
        <xdr:cNvPr id="22" name="Rectangle à coins arrondis 2">
          <a:hlinkClick xmlns:r="http://schemas.openxmlformats.org/officeDocument/2006/relationships" r:id="rId9" tooltip="Introduction"/>
          <a:extLst>
            <a:ext uri="{FF2B5EF4-FFF2-40B4-BE49-F238E27FC236}">
              <a16:creationId xmlns:a16="http://schemas.microsoft.com/office/drawing/2014/main" id="{00000000-0008-0000-0400-000016000000}"/>
            </a:ext>
          </a:extLst>
        </xdr:cNvPr>
        <xdr:cNvSpPr>
          <a:spLocks noChangeArrowheads="1"/>
        </xdr:cNvSpPr>
      </xdr:nvSpPr>
      <xdr:spPr bwMode="auto">
        <a:xfrm>
          <a:off x="6572250" y="40957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Introduction</a:t>
          </a:r>
          <a:endParaRPr lang="fr-FR" sz="1200" b="0" i="0" u="none" strike="noStrike" baseline="0">
            <a:solidFill>
              <a:srgbClr val="984806"/>
            </a:solidFill>
            <a:latin typeface="Arial" panose="020B0604020202020204" pitchFamily="34" charset="0"/>
            <a:cs typeface="Arial" panose="020B0604020202020204" pitchFamily="34" charset="0"/>
          </a:endParaRPr>
        </a:p>
      </xdr:txBody>
    </xdr:sp>
    <xdr:clientData/>
  </xdr:twoCellAnchor>
  <xdr:twoCellAnchor>
    <xdr:from>
      <xdr:col>9</xdr:col>
      <xdr:colOff>371475</xdr:colOff>
      <xdr:row>2</xdr:row>
      <xdr:rowOff>180976</xdr:rowOff>
    </xdr:from>
    <xdr:to>
      <xdr:col>10</xdr:col>
      <xdr:colOff>828300</xdr:colOff>
      <xdr:row>4</xdr:row>
      <xdr:rowOff>29776</xdr:rowOff>
    </xdr:to>
    <xdr:sp macro="" textlink="">
      <xdr:nvSpPr>
        <xdr:cNvPr id="23" name="Rectangle à coins arrondis 2">
          <a:hlinkClick xmlns:r="http://schemas.openxmlformats.org/officeDocument/2006/relationships" r:id="rId3" tooltip="Project Information"/>
          <a:extLst>
            <a:ext uri="{FF2B5EF4-FFF2-40B4-BE49-F238E27FC236}">
              <a16:creationId xmlns:a16="http://schemas.microsoft.com/office/drawing/2014/main" id="{00000000-0008-0000-0400-000017000000}"/>
            </a:ext>
          </a:extLst>
        </xdr:cNvPr>
        <xdr:cNvSpPr>
          <a:spLocks noChangeArrowheads="1"/>
        </xdr:cNvSpPr>
      </xdr:nvSpPr>
      <xdr:spPr bwMode="auto">
        <a:xfrm>
          <a:off x="6572250" y="79057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Project Information</a:t>
          </a:r>
        </a:p>
      </xdr:txBody>
    </xdr:sp>
    <xdr:clientData/>
  </xdr:twoCellAnchor>
  <xdr:twoCellAnchor>
    <xdr:from>
      <xdr:col>11</xdr:col>
      <xdr:colOff>57525</xdr:colOff>
      <xdr:row>2</xdr:row>
      <xdr:rowOff>190501</xdr:rowOff>
    </xdr:from>
    <xdr:to>
      <xdr:col>12</xdr:col>
      <xdr:colOff>657225</xdr:colOff>
      <xdr:row>4</xdr:row>
      <xdr:rowOff>39301</xdr:rowOff>
    </xdr:to>
    <xdr:sp macro="" textlink="">
      <xdr:nvSpPr>
        <xdr:cNvPr id="25" name="Rectangle à coins arrondis 2">
          <a:hlinkClick xmlns:r="http://schemas.openxmlformats.org/officeDocument/2006/relationships" r:id="rId10" tooltip="Graphical Results"/>
          <a:extLst>
            <a:ext uri="{FF2B5EF4-FFF2-40B4-BE49-F238E27FC236}">
              <a16:creationId xmlns:a16="http://schemas.microsoft.com/office/drawing/2014/main" id="{00000000-0008-0000-0400-000019000000}"/>
            </a:ext>
          </a:extLst>
        </xdr:cNvPr>
        <xdr:cNvSpPr>
          <a:spLocks noChangeArrowheads="1"/>
        </xdr:cNvSpPr>
      </xdr:nvSpPr>
      <xdr:spPr bwMode="auto">
        <a:xfrm>
          <a:off x="8144250"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Graphical Results </a:t>
          </a:r>
        </a:p>
      </xdr:txBody>
    </xdr:sp>
    <xdr:clientData/>
  </xdr:twoCellAnchor>
  <xdr:twoCellAnchor>
    <xdr:from>
      <xdr:col>12</xdr:col>
      <xdr:colOff>742950</xdr:colOff>
      <xdr:row>2</xdr:row>
      <xdr:rowOff>190501</xdr:rowOff>
    </xdr:from>
    <xdr:to>
      <xdr:col>14</xdr:col>
      <xdr:colOff>409200</xdr:colOff>
      <xdr:row>4</xdr:row>
      <xdr:rowOff>39301</xdr:rowOff>
    </xdr:to>
    <xdr:sp macro="" textlink="">
      <xdr:nvSpPr>
        <xdr:cNvPr id="27" name="Rectangle à coins arrondis 2">
          <a:hlinkClick xmlns:r="http://schemas.openxmlformats.org/officeDocument/2006/relationships" r:id="rId11" tooltip="Glossary"/>
          <a:extLst>
            <a:ext uri="{FF2B5EF4-FFF2-40B4-BE49-F238E27FC236}">
              <a16:creationId xmlns:a16="http://schemas.microsoft.com/office/drawing/2014/main" id="{00000000-0008-0000-0400-00001B000000}"/>
            </a:ext>
          </a:extLst>
        </xdr:cNvPr>
        <xdr:cNvSpPr>
          <a:spLocks noChangeArrowheads="1"/>
        </xdr:cNvSpPr>
      </xdr:nvSpPr>
      <xdr:spPr bwMode="auto">
        <a:xfrm>
          <a:off x="9705975"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Glossary</a:t>
          </a:r>
        </a:p>
      </xdr:txBody>
    </xdr:sp>
    <xdr:clientData/>
  </xdr:twoCellAnchor>
  <xdr:twoCellAnchor>
    <xdr:from>
      <xdr:col>11</xdr:col>
      <xdr:colOff>714375</xdr:colOff>
      <xdr:row>58</xdr:row>
      <xdr:rowOff>114300</xdr:rowOff>
    </xdr:from>
    <xdr:to>
      <xdr:col>13</xdr:col>
      <xdr:colOff>180975</xdr:colOff>
      <xdr:row>60</xdr:row>
      <xdr:rowOff>45675</xdr:rowOff>
    </xdr:to>
    <xdr:sp macro="" textlink="">
      <xdr:nvSpPr>
        <xdr:cNvPr id="33" name="Rectangle à coins arrondis 2">
          <a:hlinkClick xmlns:r="http://schemas.openxmlformats.org/officeDocument/2006/relationships" r:id="rId12" tooltip="Additional Information"/>
          <a:extLst>
            <a:ext uri="{FF2B5EF4-FFF2-40B4-BE49-F238E27FC236}">
              <a16:creationId xmlns:a16="http://schemas.microsoft.com/office/drawing/2014/main" id="{00000000-0008-0000-0400-000021000000}"/>
            </a:ext>
          </a:extLst>
        </xdr:cNvPr>
        <xdr:cNvSpPr>
          <a:spLocks noChangeArrowheads="1"/>
        </xdr:cNvSpPr>
      </xdr:nvSpPr>
      <xdr:spPr bwMode="auto">
        <a:xfrm>
          <a:off x="8562975" y="11572875"/>
          <a:ext cx="1247775" cy="360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0" rIns="36576" bIns="0" anchor="ctr" upright="1"/>
        <a:lstStyle/>
        <a:p>
          <a:pPr algn="ctr" rtl="0">
            <a:lnSpc>
              <a:spcPts val="1200"/>
            </a:lnSpc>
            <a:defRPr sz="1000"/>
          </a:pPr>
          <a:r>
            <a:rPr lang="fr-FR" sz="1200" b="0" i="0" u="none" strike="noStrike" baseline="0">
              <a:solidFill>
                <a:srgbClr val="984806"/>
              </a:solidFill>
              <a:latin typeface="Arial" pitchFamily="34" charset="0"/>
              <a:cs typeface="Arial" pitchFamily="34" charset="0"/>
            </a:rPr>
            <a:t>Additional</a:t>
          </a:r>
          <a:r>
            <a:rPr lang="fr-FR" sz="1200" b="0" i="0" u="none" strike="noStrike" baseline="0">
              <a:solidFill>
                <a:srgbClr val="FFA500"/>
              </a:solidFill>
              <a:latin typeface="Arial" pitchFamily="34" charset="0"/>
              <a:cs typeface="Arial" pitchFamily="34" charset="0"/>
            </a:rPr>
            <a:t> </a:t>
          </a:r>
          <a:r>
            <a:rPr lang="fr-FR" sz="1200" b="0" i="0" u="none" strike="noStrike" baseline="0">
              <a:solidFill>
                <a:srgbClr val="984806"/>
              </a:solidFill>
              <a:latin typeface="Arial" pitchFamily="34" charset="0"/>
              <a:cs typeface="Arial" pitchFamily="34" charset="0"/>
            </a:rPr>
            <a:t>Information</a:t>
          </a:r>
        </a:p>
      </xdr:txBody>
    </xdr:sp>
    <xdr:clientData/>
  </xdr:twoCellAnchor>
  <xdr:twoCellAnchor editAs="oneCell">
    <xdr:from>
      <xdr:col>3</xdr:col>
      <xdr:colOff>476250</xdr:colOff>
      <xdr:row>24</xdr:row>
      <xdr:rowOff>28575</xdr:rowOff>
    </xdr:from>
    <xdr:to>
      <xdr:col>4</xdr:col>
      <xdr:colOff>229875</xdr:colOff>
      <xdr:row>24</xdr:row>
      <xdr:rowOff>496575</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09800" y="4895850"/>
          <a:ext cx="468000" cy="468000"/>
        </a:xfrm>
        <a:prstGeom prst="rect">
          <a:avLst/>
        </a:prstGeom>
      </xdr:spPr>
    </xdr:pic>
    <xdr:clientData/>
  </xdr:twoCellAnchor>
  <xdr:twoCellAnchor editAs="oneCell">
    <xdr:from>
      <xdr:col>1</xdr:col>
      <xdr:colOff>438150</xdr:colOff>
      <xdr:row>24</xdr:row>
      <xdr:rowOff>38100</xdr:rowOff>
    </xdr:from>
    <xdr:to>
      <xdr:col>2</xdr:col>
      <xdr:colOff>334650</xdr:colOff>
      <xdr:row>24</xdr:row>
      <xdr:rowOff>506100</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2950" y="4905375"/>
          <a:ext cx="468000" cy="468000"/>
        </a:xfrm>
        <a:prstGeom prst="rect">
          <a:avLst/>
        </a:prstGeom>
      </xdr:spPr>
    </xdr:pic>
    <xdr:clientData/>
  </xdr:twoCellAnchor>
  <xdr:twoCellAnchor editAs="oneCell">
    <xdr:from>
      <xdr:col>9</xdr:col>
      <xdr:colOff>704850</xdr:colOff>
      <xdr:row>24</xdr:row>
      <xdr:rowOff>28575</xdr:rowOff>
    </xdr:from>
    <xdr:to>
      <xdr:col>10</xdr:col>
      <xdr:colOff>153675</xdr:colOff>
      <xdr:row>24</xdr:row>
      <xdr:rowOff>496575</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0" y="4895850"/>
          <a:ext cx="468000" cy="468000"/>
        </a:xfrm>
        <a:prstGeom prst="rect">
          <a:avLst/>
        </a:prstGeom>
      </xdr:spPr>
    </xdr:pic>
    <xdr:clientData/>
  </xdr:twoCellAnchor>
  <xdr:twoCellAnchor editAs="oneCell">
    <xdr:from>
      <xdr:col>7</xdr:col>
      <xdr:colOff>485775</xdr:colOff>
      <xdr:row>24</xdr:row>
      <xdr:rowOff>38100</xdr:rowOff>
    </xdr:from>
    <xdr:to>
      <xdr:col>8</xdr:col>
      <xdr:colOff>237585</xdr:colOff>
      <xdr:row>24</xdr:row>
      <xdr:rowOff>506100</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019675" y="4905375"/>
          <a:ext cx="466185" cy="468000"/>
        </a:xfrm>
        <a:prstGeom prst="rect">
          <a:avLst/>
        </a:prstGeom>
      </xdr:spPr>
    </xdr:pic>
    <xdr:clientData/>
  </xdr:twoCellAnchor>
  <xdr:twoCellAnchor editAs="oneCell">
    <xdr:from>
      <xdr:col>5</xdr:col>
      <xdr:colOff>504826</xdr:colOff>
      <xdr:row>24</xdr:row>
      <xdr:rowOff>28575</xdr:rowOff>
    </xdr:from>
    <xdr:to>
      <xdr:col>6</xdr:col>
      <xdr:colOff>199101</xdr:colOff>
      <xdr:row>24</xdr:row>
      <xdr:rowOff>496575</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7"/>
        <a:stretch>
          <a:fillRect/>
        </a:stretch>
      </xdr:blipFill>
      <xdr:spPr>
        <a:xfrm>
          <a:off x="3590926" y="4895850"/>
          <a:ext cx="456275" cy="468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228599</xdr:colOff>
      <xdr:row>1</xdr:row>
      <xdr:rowOff>114301</xdr:rowOff>
    </xdr:from>
    <xdr:to>
      <xdr:col>3</xdr:col>
      <xdr:colOff>24449</xdr:colOff>
      <xdr:row>3</xdr:row>
      <xdr:rowOff>57301</xdr:rowOff>
    </xdr:to>
    <xdr:sp macro="" textlink="">
      <xdr:nvSpPr>
        <xdr:cNvPr id="2" name="Rectangle à coins arrondis 2">
          <a:hlinkClick xmlns:r="http://schemas.openxmlformats.org/officeDocument/2006/relationships" r:id="rId1" tooltip="Back to Site &amp; Environment"/>
          <a:extLst>
            <a:ext uri="{FF2B5EF4-FFF2-40B4-BE49-F238E27FC236}">
              <a16:creationId xmlns:a16="http://schemas.microsoft.com/office/drawing/2014/main" id="{00000000-0008-0000-2900-000002000000}"/>
            </a:ext>
          </a:extLst>
        </xdr:cNvPr>
        <xdr:cNvSpPr>
          <a:spLocks noChangeArrowheads="1"/>
        </xdr:cNvSpPr>
      </xdr:nvSpPr>
      <xdr:spPr bwMode="auto">
        <a:xfrm>
          <a:off x="228599" y="409576"/>
          <a:ext cx="25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Site &amp; Environment</a:t>
          </a:r>
        </a:p>
      </xdr:txBody>
    </xdr:sp>
    <xdr:clientData/>
  </xdr:twoCellAnchor>
  <xdr:twoCellAnchor>
    <xdr:from>
      <xdr:col>3</xdr:col>
      <xdr:colOff>600075</xdr:colOff>
      <xdr:row>1</xdr:row>
      <xdr:rowOff>104775</xdr:rowOff>
    </xdr:from>
    <xdr:to>
      <xdr:col>5</xdr:col>
      <xdr:colOff>302625</xdr:colOff>
      <xdr:row>3</xdr:row>
      <xdr:rowOff>47775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900-000003000000}"/>
            </a:ext>
          </a:extLst>
        </xdr:cNvPr>
        <xdr:cNvSpPr>
          <a:spLocks noChangeArrowheads="1"/>
        </xdr:cNvSpPr>
      </xdr:nvSpPr>
      <xdr:spPr bwMode="auto">
        <a:xfrm>
          <a:off x="3324225"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20</xdr:row>
      <xdr:rowOff>76200</xdr:rowOff>
    </xdr:from>
    <xdr:to>
      <xdr:col>1</xdr:col>
      <xdr:colOff>405525</xdr:colOff>
      <xdr:row>22</xdr:row>
      <xdr:rowOff>110250</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4791075"/>
          <a:ext cx="396000" cy="396000"/>
        </a:xfrm>
        <a:prstGeom prst="rect">
          <a:avLst/>
        </a:prstGeom>
      </xdr:spPr>
    </xdr:pic>
    <xdr:clientData/>
  </xdr:twoCellAnchor>
  <xdr:twoCellAnchor editAs="oneCell">
    <xdr:from>
      <xdr:col>1</xdr:col>
      <xdr:colOff>28575</xdr:colOff>
      <xdr:row>22</xdr:row>
      <xdr:rowOff>180975</xdr:rowOff>
    </xdr:from>
    <xdr:to>
      <xdr:col>1</xdr:col>
      <xdr:colOff>388575</xdr:colOff>
      <xdr:row>24</xdr:row>
      <xdr:rowOff>83775</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4829175"/>
          <a:ext cx="360000" cy="360000"/>
        </a:xfrm>
        <a:prstGeom prst="rect">
          <a:avLst/>
        </a:prstGeom>
      </xdr:spPr>
    </xdr:pic>
    <xdr:clientData/>
  </xdr:twoCellAnchor>
  <xdr:oneCellAnchor>
    <xdr:from>
      <xdr:col>1</xdr:col>
      <xdr:colOff>9525</xdr:colOff>
      <xdr:row>47</xdr:row>
      <xdr:rowOff>104775</xdr:rowOff>
    </xdr:from>
    <xdr:ext cx="396000" cy="396000"/>
    <xdr:pic>
      <xdr:nvPicPr>
        <xdr:cNvPr id="8" name="Picture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4371975"/>
          <a:ext cx="396000" cy="396000"/>
        </a:xfrm>
        <a:prstGeom prst="rect">
          <a:avLst/>
        </a:prstGeom>
      </xdr:spPr>
    </xdr:pic>
    <xdr:clientData/>
  </xdr:oneCellAnchor>
  <xdr:oneCellAnchor>
    <xdr:from>
      <xdr:col>1</xdr:col>
      <xdr:colOff>28575</xdr:colOff>
      <xdr:row>50</xdr:row>
      <xdr:rowOff>57150</xdr:rowOff>
    </xdr:from>
    <xdr:ext cx="360000" cy="360000"/>
    <xdr:pic>
      <xdr:nvPicPr>
        <xdr:cNvPr id="9" name="Picture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10477500"/>
          <a:ext cx="360000" cy="360000"/>
        </a:xfrm>
        <a:prstGeom prst="rect">
          <a:avLst/>
        </a:prstGeom>
      </xdr:spPr>
    </xdr:pic>
    <xdr:clientData/>
  </xdr:oneCellAnchor>
  <xdr:twoCellAnchor>
    <xdr:from>
      <xdr:col>7</xdr:col>
      <xdr:colOff>914400</xdr:colOff>
      <xdr:row>5</xdr:row>
      <xdr:rowOff>95250</xdr:rowOff>
    </xdr:from>
    <xdr:to>
      <xdr:col>8</xdr:col>
      <xdr:colOff>527550</xdr:colOff>
      <xdr:row>6</xdr:row>
      <xdr:rowOff>99600</xdr:rowOff>
    </xdr:to>
    <xdr:sp macro="" textlink="">
      <xdr:nvSpPr>
        <xdr:cNvPr id="12" name="Rectangle à coins arrondis 2">
          <a:hlinkClick xmlns:r="http://schemas.openxmlformats.org/officeDocument/2006/relationships" r:id="rId5" tooltip="Option A"/>
          <a:extLst>
            <a:ext uri="{FF2B5EF4-FFF2-40B4-BE49-F238E27FC236}">
              <a16:creationId xmlns:a16="http://schemas.microsoft.com/office/drawing/2014/main" id="{00000000-0008-0000-2900-00000C000000}"/>
            </a:ext>
          </a:extLst>
        </xdr:cNvPr>
        <xdr:cNvSpPr>
          <a:spLocks noChangeArrowheads="1"/>
        </xdr:cNvSpPr>
      </xdr:nvSpPr>
      <xdr:spPr bwMode="auto">
        <a:xfrm>
          <a:off x="8648700" y="1228725"/>
          <a:ext cx="108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9</xdr:col>
      <xdr:colOff>47625</xdr:colOff>
      <xdr:row>5</xdr:row>
      <xdr:rowOff>95250</xdr:rowOff>
    </xdr:from>
    <xdr:to>
      <xdr:col>10</xdr:col>
      <xdr:colOff>546600</xdr:colOff>
      <xdr:row>6</xdr:row>
      <xdr:rowOff>99600</xdr:rowOff>
    </xdr:to>
    <xdr:sp macro="" textlink="">
      <xdr:nvSpPr>
        <xdr:cNvPr id="13" name="Rectangle à coins arrondis 2">
          <a:hlinkClick xmlns:r="http://schemas.openxmlformats.org/officeDocument/2006/relationships" r:id="rId6" tooltip="Option B"/>
          <a:extLst>
            <a:ext uri="{FF2B5EF4-FFF2-40B4-BE49-F238E27FC236}">
              <a16:creationId xmlns:a16="http://schemas.microsoft.com/office/drawing/2014/main" id="{00000000-0008-0000-2900-00000D000000}"/>
            </a:ext>
          </a:extLst>
        </xdr:cNvPr>
        <xdr:cNvSpPr>
          <a:spLocks noChangeArrowheads="1"/>
        </xdr:cNvSpPr>
      </xdr:nvSpPr>
      <xdr:spPr bwMode="auto">
        <a:xfrm>
          <a:off x="9829800" y="1228725"/>
          <a:ext cx="108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7</xdr:col>
      <xdr:colOff>466725</xdr:colOff>
      <xdr:row>5</xdr:row>
      <xdr:rowOff>104775</xdr:rowOff>
    </xdr:from>
    <xdr:to>
      <xdr:col>7</xdr:col>
      <xdr:colOff>826725</xdr:colOff>
      <xdr:row>6</xdr:row>
      <xdr:rowOff>109125</xdr:rowOff>
    </xdr:to>
    <xdr:sp macro="" textlink="">
      <xdr:nvSpPr>
        <xdr:cNvPr id="14" name="Flèche droite 6">
          <a:extLst>
            <a:ext uri="{FF2B5EF4-FFF2-40B4-BE49-F238E27FC236}">
              <a16:creationId xmlns:a16="http://schemas.microsoft.com/office/drawing/2014/main" id="{00000000-0008-0000-2900-00000E000000}"/>
            </a:ext>
          </a:extLst>
        </xdr:cNvPr>
        <xdr:cNvSpPr/>
      </xdr:nvSpPr>
      <xdr:spPr>
        <a:xfrm>
          <a:off x="8201025" y="1238250"/>
          <a:ext cx="360000" cy="27105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7</xdr:col>
      <xdr:colOff>1285875</xdr:colOff>
      <xdr:row>1</xdr:row>
      <xdr:rowOff>114300</xdr:rowOff>
    </xdr:from>
    <xdr:to>
      <xdr:col>8</xdr:col>
      <xdr:colOff>266700</xdr:colOff>
      <xdr:row>3</xdr:row>
      <xdr:rowOff>85725</xdr:rowOff>
    </xdr:to>
    <xdr:sp macro="" textlink="">
      <xdr:nvSpPr>
        <xdr:cNvPr id="16" name="Up Arrow 15">
          <a:hlinkClick xmlns:r="http://schemas.openxmlformats.org/officeDocument/2006/relationships" r:id="rId7" tooltip="Back to top"/>
          <a:extLst>
            <a:ext uri="{FF2B5EF4-FFF2-40B4-BE49-F238E27FC236}">
              <a16:creationId xmlns:a16="http://schemas.microsoft.com/office/drawing/2014/main" id="{00000000-0008-0000-2900-000010000000}"/>
            </a:ext>
          </a:extLst>
        </xdr:cNvPr>
        <xdr:cNvSpPr/>
      </xdr:nvSpPr>
      <xdr:spPr>
        <a:xfrm>
          <a:off x="9020175" y="419100"/>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571500</xdr:colOff>
      <xdr:row>1</xdr:row>
      <xdr:rowOff>104775</xdr:rowOff>
    </xdr:from>
    <xdr:to>
      <xdr:col>5</xdr:col>
      <xdr:colOff>274050</xdr:colOff>
      <xdr:row>3</xdr:row>
      <xdr:rowOff>47775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2A00-000003000000}"/>
            </a:ext>
          </a:extLst>
        </xdr:cNvPr>
        <xdr:cNvSpPr>
          <a:spLocks noChangeArrowheads="1"/>
        </xdr:cNvSpPr>
      </xdr:nvSpPr>
      <xdr:spPr bwMode="auto">
        <a:xfrm>
          <a:off x="329565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485775</xdr:colOff>
      <xdr:row>5</xdr:row>
      <xdr:rowOff>95250</xdr:rowOff>
    </xdr:from>
    <xdr:to>
      <xdr:col>7</xdr:col>
      <xdr:colOff>260850</xdr:colOff>
      <xdr:row>6</xdr:row>
      <xdr:rowOff>99600</xdr:rowOff>
    </xdr:to>
    <xdr:sp macro="" textlink="">
      <xdr:nvSpPr>
        <xdr:cNvPr id="7" name="Rectangle à coins arrondis 2">
          <a:hlinkClick xmlns:r="http://schemas.openxmlformats.org/officeDocument/2006/relationships" r:id="rId2" tooltip="Option A"/>
          <a:extLst>
            <a:ext uri="{FF2B5EF4-FFF2-40B4-BE49-F238E27FC236}">
              <a16:creationId xmlns:a16="http://schemas.microsoft.com/office/drawing/2014/main" id="{00000000-0008-0000-2A00-000007000000}"/>
            </a:ext>
          </a:extLst>
        </xdr:cNvPr>
        <xdr:cNvSpPr>
          <a:spLocks noChangeArrowheads="1"/>
        </xdr:cNvSpPr>
      </xdr:nvSpPr>
      <xdr:spPr bwMode="auto">
        <a:xfrm>
          <a:off x="6819900" y="1228725"/>
          <a:ext cx="108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409575</xdr:colOff>
      <xdr:row>5</xdr:row>
      <xdr:rowOff>95250</xdr:rowOff>
    </xdr:from>
    <xdr:to>
      <xdr:col>8</xdr:col>
      <xdr:colOff>13200</xdr:colOff>
      <xdr:row>6</xdr:row>
      <xdr:rowOff>99600</xdr:rowOff>
    </xdr:to>
    <xdr:sp macro="" textlink="">
      <xdr:nvSpPr>
        <xdr:cNvPr id="8" name="Rectangle à coins arrondis 2">
          <a:hlinkClick xmlns:r="http://schemas.openxmlformats.org/officeDocument/2006/relationships" r:id="rId3" tooltip="Option B"/>
          <a:extLst>
            <a:ext uri="{FF2B5EF4-FFF2-40B4-BE49-F238E27FC236}">
              <a16:creationId xmlns:a16="http://schemas.microsoft.com/office/drawing/2014/main" id="{00000000-0008-0000-2A00-000008000000}"/>
            </a:ext>
          </a:extLst>
        </xdr:cNvPr>
        <xdr:cNvSpPr>
          <a:spLocks noChangeArrowheads="1"/>
        </xdr:cNvSpPr>
      </xdr:nvSpPr>
      <xdr:spPr bwMode="auto">
        <a:xfrm>
          <a:off x="8048625" y="1228725"/>
          <a:ext cx="108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5</xdr:col>
      <xdr:colOff>1133475</xdr:colOff>
      <xdr:row>5</xdr:row>
      <xdr:rowOff>104775</xdr:rowOff>
    </xdr:from>
    <xdr:to>
      <xdr:col>6</xdr:col>
      <xdr:colOff>340950</xdr:colOff>
      <xdr:row>6</xdr:row>
      <xdr:rowOff>109125</xdr:rowOff>
    </xdr:to>
    <xdr:sp macro="" textlink="">
      <xdr:nvSpPr>
        <xdr:cNvPr id="9" name="Flèche droite 6">
          <a:extLst>
            <a:ext uri="{FF2B5EF4-FFF2-40B4-BE49-F238E27FC236}">
              <a16:creationId xmlns:a16="http://schemas.microsoft.com/office/drawing/2014/main" id="{00000000-0008-0000-2A00-000009000000}"/>
            </a:ext>
          </a:extLst>
        </xdr:cNvPr>
        <xdr:cNvSpPr/>
      </xdr:nvSpPr>
      <xdr:spPr>
        <a:xfrm>
          <a:off x="6315075" y="1238250"/>
          <a:ext cx="360000" cy="27105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9525</xdr:colOff>
      <xdr:row>17</xdr:row>
      <xdr:rowOff>85725</xdr:rowOff>
    </xdr:from>
    <xdr:to>
      <xdr:col>1</xdr:col>
      <xdr:colOff>405525</xdr:colOff>
      <xdr:row>19</xdr:row>
      <xdr:rowOff>100725</xdr:rowOff>
    </xdr:to>
    <xdr:pic>
      <xdr:nvPicPr>
        <xdr:cNvPr id="10" name="Picture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4162425"/>
          <a:ext cx="396000" cy="396000"/>
        </a:xfrm>
        <a:prstGeom prst="rect">
          <a:avLst/>
        </a:prstGeom>
      </xdr:spPr>
    </xdr:pic>
    <xdr:clientData/>
  </xdr:twoCellAnchor>
  <xdr:twoCellAnchor editAs="oneCell">
    <xdr:from>
      <xdr:col>1</xdr:col>
      <xdr:colOff>38100</xdr:colOff>
      <xdr:row>20</xdr:row>
      <xdr:rowOff>76200</xdr:rowOff>
    </xdr:from>
    <xdr:to>
      <xdr:col>1</xdr:col>
      <xdr:colOff>398100</xdr:colOff>
      <xdr:row>22</xdr:row>
      <xdr:rowOff>83775</xdr:rowOff>
    </xdr:to>
    <xdr:pic>
      <xdr:nvPicPr>
        <xdr:cNvPr id="11" name="Picture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4657725"/>
          <a:ext cx="360000" cy="360000"/>
        </a:xfrm>
        <a:prstGeom prst="rect">
          <a:avLst/>
        </a:prstGeom>
      </xdr:spPr>
    </xdr:pic>
    <xdr:clientData/>
  </xdr:twoCellAnchor>
  <xdr:oneCellAnchor>
    <xdr:from>
      <xdr:col>1</xdr:col>
      <xdr:colOff>9525</xdr:colOff>
      <xdr:row>38</xdr:row>
      <xdr:rowOff>85725</xdr:rowOff>
    </xdr:from>
    <xdr:ext cx="396000" cy="396000"/>
    <xdr:pic>
      <xdr:nvPicPr>
        <xdr:cNvPr id="12" name="Picture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4162425"/>
          <a:ext cx="396000" cy="396000"/>
        </a:xfrm>
        <a:prstGeom prst="rect">
          <a:avLst/>
        </a:prstGeom>
      </xdr:spPr>
    </xdr:pic>
    <xdr:clientData/>
  </xdr:oneCellAnchor>
  <xdr:oneCellAnchor>
    <xdr:from>
      <xdr:col>1</xdr:col>
      <xdr:colOff>38100</xdr:colOff>
      <xdr:row>44</xdr:row>
      <xdr:rowOff>152400</xdr:rowOff>
    </xdr:from>
    <xdr:ext cx="360000" cy="360000"/>
    <xdr:pic>
      <xdr:nvPicPr>
        <xdr:cNvPr id="13" name="Picture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10572750"/>
          <a:ext cx="360000" cy="360000"/>
        </a:xfrm>
        <a:prstGeom prst="rect">
          <a:avLst/>
        </a:prstGeom>
      </xdr:spPr>
    </xdr:pic>
    <xdr:clientData/>
  </xdr:oneCellAnchor>
  <xdr:oneCellAnchor>
    <xdr:from>
      <xdr:col>1</xdr:col>
      <xdr:colOff>57150</xdr:colOff>
      <xdr:row>41</xdr:row>
      <xdr:rowOff>57150</xdr:rowOff>
    </xdr:from>
    <xdr:ext cx="468000" cy="468000"/>
    <xdr:pic>
      <xdr:nvPicPr>
        <xdr:cNvPr id="15" name="Picture 14">
          <a:extLst>
            <a:ext uri="{FF2B5EF4-FFF2-40B4-BE49-F238E27FC236}">
              <a16:creationId xmlns:a16="http://schemas.microsoft.com/office/drawing/2014/main" id="{00000000-0008-0000-2A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9134475"/>
          <a:ext cx="468000" cy="468000"/>
        </a:xfrm>
        <a:prstGeom prst="rect">
          <a:avLst/>
        </a:prstGeom>
      </xdr:spPr>
    </xdr:pic>
    <xdr:clientData/>
  </xdr:oneCellAnchor>
  <xdr:twoCellAnchor>
    <xdr:from>
      <xdr:col>8</xdr:col>
      <xdr:colOff>104775</xdr:colOff>
      <xdr:row>1</xdr:row>
      <xdr:rowOff>114300</xdr:rowOff>
    </xdr:from>
    <xdr:to>
      <xdr:col>8</xdr:col>
      <xdr:colOff>552450</xdr:colOff>
      <xdr:row>3</xdr:row>
      <xdr:rowOff>85725</xdr:rowOff>
    </xdr:to>
    <xdr:sp macro="" textlink="">
      <xdr:nvSpPr>
        <xdr:cNvPr id="14" name="Up Arrow 13">
          <a:hlinkClick xmlns:r="http://schemas.openxmlformats.org/officeDocument/2006/relationships" r:id="rId6" tooltip="Back to top"/>
          <a:extLst>
            <a:ext uri="{FF2B5EF4-FFF2-40B4-BE49-F238E27FC236}">
              <a16:creationId xmlns:a16="http://schemas.microsoft.com/office/drawing/2014/main" id="{00000000-0008-0000-2A00-00000E000000}"/>
            </a:ext>
          </a:extLst>
        </xdr:cNvPr>
        <xdr:cNvSpPr/>
      </xdr:nvSpPr>
      <xdr:spPr>
        <a:xfrm>
          <a:off x="9220200" y="419100"/>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238125</xdr:colOff>
      <xdr:row>1</xdr:row>
      <xdr:rowOff>114300</xdr:rowOff>
    </xdr:from>
    <xdr:to>
      <xdr:col>3</xdr:col>
      <xdr:colOff>33975</xdr:colOff>
      <xdr:row>3</xdr:row>
      <xdr:rowOff>57300</xdr:rowOff>
    </xdr:to>
    <xdr:sp macro="" textlink="">
      <xdr:nvSpPr>
        <xdr:cNvPr id="16" name="Rectangle à coins arrondis 2">
          <a:hlinkClick xmlns:r="http://schemas.openxmlformats.org/officeDocument/2006/relationships" r:id="rId7" tooltip="Back to Site &amp; Environment"/>
          <a:extLst>
            <a:ext uri="{FF2B5EF4-FFF2-40B4-BE49-F238E27FC236}">
              <a16:creationId xmlns:a16="http://schemas.microsoft.com/office/drawing/2014/main" id="{39B9D178-5A67-4518-8938-89D413735F94}"/>
            </a:ext>
          </a:extLst>
        </xdr:cNvPr>
        <xdr:cNvSpPr>
          <a:spLocks noChangeArrowheads="1"/>
        </xdr:cNvSpPr>
      </xdr:nvSpPr>
      <xdr:spPr bwMode="auto">
        <a:xfrm>
          <a:off x="238125" y="409575"/>
          <a:ext cx="25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Site &amp; Environment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1009650</xdr:colOff>
      <xdr:row>1</xdr:row>
      <xdr:rowOff>114300</xdr:rowOff>
    </xdr:from>
    <xdr:to>
      <xdr:col>4</xdr:col>
      <xdr:colOff>247425</xdr:colOff>
      <xdr:row>3</xdr:row>
      <xdr:rowOff>57300</xdr:rowOff>
    </xdr:to>
    <xdr:sp macro="" textlink="">
      <xdr:nvSpPr>
        <xdr:cNvPr id="9" name="Rectangle à coins arrondis 2">
          <a:hlinkClick xmlns:r="http://schemas.openxmlformats.org/officeDocument/2006/relationships" r:id="rId1" tooltip="Scorecard"/>
          <a:extLst>
            <a:ext uri="{FF2B5EF4-FFF2-40B4-BE49-F238E27FC236}">
              <a16:creationId xmlns:a16="http://schemas.microsoft.com/office/drawing/2014/main" id="{00000000-0008-0000-2B00-000009000000}"/>
            </a:ext>
          </a:extLst>
        </xdr:cNvPr>
        <xdr:cNvSpPr>
          <a:spLocks noChangeArrowheads="1"/>
        </xdr:cNvSpPr>
      </xdr:nvSpPr>
      <xdr:spPr bwMode="auto">
        <a:xfrm>
          <a:off x="2581275" y="40957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1114425</xdr:colOff>
      <xdr:row>1</xdr:row>
      <xdr:rowOff>133350</xdr:rowOff>
    </xdr:from>
    <xdr:to>
      <xdr:col>5</xdr:col>
      <xdr:colOff>965700</xdr:colOff>
      <xdr:row>3</xdr:row>
      <xdr:rowOff>40350</xdr:rowOff>
    </xdr:to>
    <xdr:sp macro="" textlink="">
      <xdr:nvSpPr>
        <xdr:cNvPr id="4" name="Rectangle à coins arrondis 2">
          <a:hlinkClick xmlns:r="http://schemas.openxmlformats.org/officeDocument/2006/relationships" r:id="rId2" tooltip="Strategy A"/>
          <a:extLst>
            <a:ext uri="{FF2B5EF4-FFF2-40B4-BE49-F238E27FC236}">
              <a16:creationId xmlns:a16="http://schemas.microsoft.com/office/drawing/2014/main" id="{00000000-0008-0000-2B00-000004000000}"/>
            </a:ext>
          </a:extLst>
        </xdr:cNvPr>
        <xdr:cNvSpPr>
          <a:spLocks noChangeArrowheads="1"/>
        </xdr:cNvSpPr>
      </xdr:nvSpPr>
      <xdr:spPr bwMode="auto">
        <a:xfrm>
          <a:off x="5248275" y="438150"/>
          <a:ext cx="108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1143000</xdr:colOff>
      <xdr:row>1</xdr:row>
      <xdr:rowOff>133350</xdr:rowOff>
    </xdr:from>
    <xdr:to>
      <xdr:col>6</xdr:col>
      <xdr:colOff>1070475</xdr:colOff>
      <xdr:row>3</xdr:row>
      <xdr:rowOff>40350</xdr:rowOff>
    </xdr:to>
    <xdr:sp macro="" textlink="">
      <xdr:nvSpPr>
        <xdr:cNvPr id="5" name="Rectangle à coins arrondis 2">
          <a:hlinkClick xmlns:r="http://schemas.openxmlformats.org/officeDocument/2006/relationships" r:id="rId3" tooltip="Strategy B"/>
          <a:extLst>
            <a:ext uri="{FF2B5EF4-FFF2-40B4-BE49-F238E27FC236}">
              <a16:creationId xmlns:a16="http://schemas.microsoft.com/office/drawing/2014/main" id="{00000000-0008-0000-2B00-000005000000}"/>
            </a:ext>
          </a:extLst>
        </xdr:cNvPr>
        <xdr:cNvSpPr>
          <a:spLocks noChangeArrowheads="1"/>
        </xdr:cNvSpPr>
      </xdr:nvSpPr>
      <xdr:spPr bwMode="auto">
        <a:xfrm>
          <a:off x="6505575" y="428625"/>
          <a:ext cx="108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7</xdr:col>
      <xdr:colOff>66674</xdr:colOff>
      <xdr:row>1</xdr:row>
      <xdr:rowOff>133350</xdr:rowOff>
    </xdr:from>
    <xdr:to>
      <xdr:col>7</xdr:col>
      <xdr:colOff>1146674</xdr:colOff>
      <xdr:row>3</xdr:row>
      <xdr:rowOff>40350</xdr:rowOff>
    </xdr:to>
    <xdr:sp macro="" textlink="">
      <xdr:nvSpPr>
        <xdr:cNvPr id="6" name="Rectangle à coins arrondis 2">
          <a:hlinkClick xmlns:r="http://schemas.openxmlformats.org/officeDocument/2006/relationships" r:id="rId4" tooltip="Strategy C"/>
          <a:extLst>
            <a:ext uri="{FF2B5EF4-FFF2-40B4-BE49-F238E27FC236}">
              <a16:creationId xmlns:a16="http://schemas.microsoft.com/office/drawing/2014/main" id="{00000000-0008-0000-2B00-000006000000}"/>
            </a:ext>
          </a:extLst>
        </xdr:cNvPr>
        <xdr:cNvSpPr>
          <a:spLocks noChangeArrowheads="1"/>
        </xdr:cNvSpPr>
      </xdr:nvSpPr>
      <xdr:spPr bwMode="auto">
        <a:xfrm>
          <a:off x="7743824" y="428625"/>
          <a:ext cx="108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0</xdr:colOff>
      <xdr:row>19</xdr:row>
      <xdr:rowOff>114300</xdr:rowOff>
    </xdr:from>
    <xdr:ext cx="396000" cy="396000"/>
    <xdr:pic>
      <xdr:nvPicPr>
        <xdr:cNvPr id="12" name="Picture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11601450"/>
          <a:ext cx="396000" cy="396000"/>
        </a:xfrm>
        <a:prstGeom prst="rect">
          <a:avLst/>
        </a:prstGeom>
      </xdr:spPr>
    </xdr:pic>
    <xdr:clientData/>
  </xdr:oneCellAnchor>
  <xdr:oneCellAnchor>
    <xdr:from>
      <xdr:col>1</xdr:col>
      <xdr:colOff>0</xdr:colOff>
      <xdr:row>45</xdr:row>
      <xdr:rowOff>0</xdr:rowOff>
    </xdr:from>
    <xdr:ext cx="396000" cy="396000"/>
    <xdr:pic>
      <xdr:nvPicPr>
        <xdr:cNvPr id="13" name="Picture 12">
          <a:extLst>
            <a:ext uri="{FF2B5EF4-FFF2-40B4-BE49-F238E27FC236}">
              <a16:creationId xmlns:a16="http://schemas.microsoft.com/office/drawing/2014/main" id="{00000000-0008-0000-2B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14544675"/>
          <a:ext cx="396000" cy="396000"/>
        </a:xfrm>
        <a:prstGeom prst="rect">
          <a:avLst/>
        </a:prstGeom>
      </xdr:spPr>
    </xdr:pic>
    <xdr:clientData/>
  </xdr:oneCellAnchor>
  <xdr:oneCellAnchor>
    <xdr:from>
      <xdr:col>1</xdr:col>
      <xdr:colOff>19050</xdr:colOff>
      <xdr:row>82</xdr:row>
      <xdr:rowOff>114300</xdr:rowOff>
    </xdr:from>
    <xdr:ext cx="360000" cy="360000"/>
    <xdr:pic>
      <xdr:nvPicPr>
        <xdr:cNvPr id="19" name="Picture 18">
          <a:extLst>
            <a:ext uri="{FF2B5EF4-FFF2-40B4-BE49-F238E27FC236}">
              <a16:creationId xmlns:a16="http://schemas.microsoft.com/office/drawing/2014/main" id="{00000000-0008-0000-2B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6604575"/>
          <a:ext cx="360000" cy="360000"/>
        </a:xfrm>
        <a:prstGeom prst="rect">
          <a:avLst/>
        </a:prstGeom>
      </xdr:spPr>
    </xdr:pic>
    <xdr:clientData/>
  </xdr:oneCellAnchor>
  <xdr:oneCellAnchor>
    <xdr:from>
      <xdr:col>1</xdr:col>
      <xdr:colOff>28575</xdr:colOff>
      <xdr:row>21</xdr:row>
      <xdr:rowOff>180975</xdr:rowOff>
    </xdr:from>
    <xdr:ext cx="360000" cy="360000"/>
    <xdr:pic>
      <xdr:nvPicPr>
        <xdr:cNvPr id="17" name="Picture 16">
          <a:extLst>
            <a:ext uri="{FF2B5EF4-FFF2-40B4-BE49-F238E27FC236}">
              <a16:creationId xmlns:a16="http://schemas.microsoft.com/office/drawing/2014/main" id="{00000000-0008-0000-2B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12439650"/>
          <a:ext cx="360000" cy="360000"/>
        </a:xfrm>
        <a:prstGeom prst="rect">
          <a:avLst/>
        </a:prstGeom>
      </xdr:spPr>
    </xdr:pic>
    <xdr:clientData/>
  </xdr:oneCellAnchor>
  <xdr:oneCellAnchor>
    <xdr:from>
      <xdr:col>1</xdr:col>
      <xdr:colOff>38100</xdr:colOff>
      <xdr:row>50</xdr:row>
      <xdr:rowOff>123825</xdr:rowOff>
    </xdr:from>
    <xdr:ext cx="360000" cy="360000"/>
    <xdr:pic>
      <xdr:nvPicPr>
        <xdr:cNvPr id="21" name="Picture 20">
          <a:extLst>
            <a:ext uri="{FF2B5EF4-FFF2-40B4-BE49-F238E27FC236}">
              <a16:creationId xmlns:a16="http://schemas.microsoft.com/office/drawing/2014/main" id="{00000000-0008-0000-2B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8802350"/>
          <a:ext cx="360000" cy="360000"/>
        </a:xfrm>
        <a:prstGeom prst="rect">
          <a:avLst/>
        </a:prstGeom>
      </xdr:spPr>
    </xdr:pic>
    <xdr:clientData/>
  </xdr:oneCellAnchor>
  <xdr:oneCellAnchor>
    <xdr:from>
      <xdr:col>1</xdr:col>
      <xdr:colOff>28575</xdr:colOff>
      <xdr:row>87</xdr:row>
      <xdr:rowOff>142875</xdr:rowOff>
    </xdr:from>
    <xdr:ext cx="360000" cy="360000"/>
    <xdr:pic>
      <xdr:nvPicPr>
        <xdr:cNvPr id="23" name="Picture 22">
          <a:extLst>
            <a:ext uri="{FF2B5EF4-FFF2-40B4-BE49-F238E27FC236}">
              <a16:creationId xmlns:a16="http://schemas.microsoft.com/office/drawing/2014/main" id="{00000000-0008-0000-2B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37452300"/>
          <a:ext cx="360000" cy="360000"/>
        </a:xfrm>
        <a:prstGeom prst="rect">
          <a:avLst/>
        </a:prstGeom>
      </xdr:spPr>
    </xdr:pic>
    <xdr:clientData/>
  </xdr:oneCellAnchor>
  <xdr:twoCellAnchor editAs="oneCell">
    <xdr:from>
      <xdr:col>1</xdr:col>
      <xdr:colOff>47625</xdr:colOff>
      <xdr:row>85</xdr:row>
      <xdr:rowOff>57150</xdr:rowOff>
    </xdr:from>
    <xdr:to>
      <xdr:col>1</xdr:col>
      <xdr:colOff>479625</xdr:colOff>
      <xdr:row>86</xdr:row>
      <xdr:rowOff>222450</xdr:rowOff>
    </xdr:to>
    <xdr:pic>
      <xdr:nvPicPr>
        <xdr:cNvPr id="15" name="Picture 14">
          <a:extLst>
            <a:ext uri="{FF2B5EF4-FFF2-40B4-BE49-F238E27FC236}">
              <a16:creationId xmlns:a16="http://schemas.microsoft.com/office/drawing/2014/main" id="{00000000-0008-0000-2B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37147500"/>
          <a:ext cx="432000" cy="432000"/>
        </a:xfrm>
        <a:prstGeom prst="rect">
          <a:avLst/>
        </a:prstGeom>
      </xdr:spPr>
    </xdr:pic>
    <xdr:clientData/>
  </xdr:twoCellAnchor>
  <xdr:twoCellAnchor>
    <xdr:from>
      <xdr:col>8</xdr:col>
      <xdr:colOff>419100</xdr:colOff>
      <xdr:row>1</xdr:row>
      <xdr:rowOff>123825</xdr:rowOff>
    </xdr:from>
    <xdr:to>
      <xdr:col>8</xdr:col>
      <xdr:colOff>866775</xdr:colOff>
      <xdr:row>3</xdr:row>
      <xdr:rowOff>95250</xdr:rowOff>
    </xdr:to>
    <xdr:sp macro="" textlink="">
      <xdr:nvSpPr>
        <xdr:cNvPr id="24" name="Up Arrow 23">
          <a:hlinkClick xmlns:r="http://schemas.openxmlformats.org/officeDocument/2006/relationships" r:id="rId8" tooltip="Back to top"/>
          <a:extLst>
            <a:ext uri="{FF2B5EF4-FFF2-40B4-BE49-F238E27FC236}">
              <a16:creationId xmlns:a16="http://schemas.microsoft.com/office/drawing/2014/main" id="{00000000-0008-0000-2B00-000018000000}"/>
            </a:ext>
          </a:extLst>
        </xdr:cNvPr>
        <xdr:cNvSpPr/>
      </xdr:nvSpPr>
      <xdr:spPr>
        <a:xfrm>
          <a:off x="9544050" y="4286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9525</xdr:colOff>
      <xdr:row>48</xdr:row>
      <xdr:rowOff>0</xdr:rowOff>
    </xdr:from>
    <xdr:to>
      <xdr:col>1</xdr:col>
      <xdr:colOff>403990</xdr:colOff>
      <xdr:row>50</xdr:row>
      <xdr:rowOff>15000</xdr:rowOff>
    </xdr:to>
    <xdr:pic>
      <xdr:nvPicPr>
        <xdr:cNvPr id="16" name="Picture 15">
          <a:extLst>
            <a:ext uri="{FF2B5EF4-FFF2-40B4-BE49-F238E27FC236}">
              <a16:creationId xmlns:a16="http://schemas.microsoft.com/office/drawing/2014/main" id="{00000000-0008-0000-2B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175" y="18345150"/>
          <a:ext cx="394465" cy="396000"/>
        </a:xfrm>
        <a:prstGeom prst="rect">
          <a:avLst/>
        </a:prstGeom>
      </xdr:spPr>
    </xdr:pic>
    <xdr:clientData/>
  </xdr:twoCellAnchor>
  <xdr:oneCellAnchor>
    <xdr:from>
      <xdr:col>1</xdr:col>
      <xdr:colOff>38100</xdr:colOff>
      <xdr:row>59</xdr:row>
      <xdr:rowOff>161925</xdr:rowOff>
    </xdr:from>
    <xdr:ext cx="360000" cy="360000"/>
    <xdr:pic>
      <xdr:nvPicPr>
        <xdr:cNvPr id="27" name="Picture 26">
          <a:extLst>
            <a:ext uri="{FF2B5EF4-FFF2-40B4-BE49-F238E27FC236}">
              <a16:creationId xmlns:a16="http://schemas.microsoft.com/office/drawing/2014/main" id="{00000000-0008-0000-2B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6315075"/>
          <a:ext cx="360000" cy="360000"/>
        </a:xfrm>
        <a:prstGeom prst="rect">
          <a:avLst/>
        </a:prstGeom>
      </xdr:spPr>
    </xdr:pic>
    <xdr:clientData/>
  </xdr:oneCellAnchor>
  <xdr:twoCellAnchor>
    <xdr:from>
      <xdr:col>0</xdr:col>
      <xdr:colOff>152400</xdr:colOff>
      <xdr:row>1</xdr:row>
      <xdr:rowOff>114300</xdr:rowOff>
    </xdr:from>
    <xdr:to>
      <xdr:col>2</xdr:col>
      <xdr:colOff>812775</xdr:colOff>
      <xdr:row>3</xdr:row>
      <xdr:rowOff>57300</xdr:rowOff>
    </xdr:to>
    <xdr:sp macro="" textlink="">
      <xdr:nvSpPr>
        <xdr:cNvPr id="18" name="Rectangle à coins arrondis 2">
          <a:hlinkClick xmlns:r="http://schemas.openxmlformats.org/officeDocument/2006/relationships" r:id="rId10" tooltip="Back to Site &amp; Environment"/>
          <a:extLst>
            <a:ext uri="{FF2B5EF4-FFF2-40B4-BE49-F238E27FC236}">
              <a16:creationId xmlns:a16="http://schemas.microsoft.com/office/drawing/2014/main" id="{E6474FDB-2428-4D53-9146-1A11AE969294}"/>
            </a:ext>
          </a:extLst>
        </xdr:cNvPr>
        <xdr:cNvSpPr>
          <a:spLocks noChangeArrowheads="1"/>
        </xdr:cNvSpPr>
      </xdr:nvSpPr>
      <xdr:spPr bwMode="auto">
        <a:xfrm>
          <a:off x="152400" y="409575"/>
          <a:ext cx="2232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Site &amp; Environment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xdr:col>
      <xdr:colOff>457197</xdr:colOff>
      <xdr:row>1</xdr:row>
      <xdr:rowOff>123825</xdr:rowOff>
    </xdr:from>
    <xdr:to>
      <xdr:col>5</xdr:col>
      <xdr:colOff>255972</xdr:colOff>
      <xdr:row>3</xdr:row>
      <xdr:rowOff>66825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1C00-000003000000}"/>
            </a:ext>
          </a:extLst>
        </xdr:cNvPr>
        <xdr:cNvSpPr>
          <a:spLocks noChangeArrowheads="1"/>
        </xdr:cNvSpPr>
      </xdr:nvSpPr>
      <xdr:spPr bwMode="auto">
        <a:xfrm>
          <a:off x="3295647" y="42862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628650</xdr:colOff>
      <xdr:row>5</xdr:row>
      <xdr:rowOff>114300</xdr:rowOff>
    </xdr:from>
    <xdr:to>
      <xdr:col>6</xdr:col>
      <xdr:colOff>659925</xdr:colOff>
      <xdr:row>6</xdr:row>
      <xdr:rowOff>156750</xdr:rowOff>
    </xdr:to>
    <xdr:sp macro="" textlink="">
      <xdr:nvSpPr>
        <xdr:cNvPr id="10" name="Rectangle à coins arrondis 2">
          <a:hlinkClick xmlns:r="http://schemas.openxmlformats.org/officeDocument/2006/relationships" r:id="rId2" tooltip="Option A"/>
          <a:extLst>
            <a:ext uri="{FF2B5EF4-FFF2-40B4-BE49-F238E27FC236}">
              <a16:creationId xmlns:a16="http://schemas.microsoft.com/office/drawing/2014/main" id="{00000000-0008-0000-1C00-00000A000000}"/>
            </a:ext>
          </a:extLst>
        </xdr:cNvPr>
        <xdr:cNvSpPr>
          <a:spLocks noChangeArrowheads="1"/>
        </xdr:cNvSpPr>
      </xdr:nvSpPr>
      <xdr:spPr bwMode="auto">
        <a:xfrm>
          <a:off x="5648325" y="1219200"/>
          <a:ext cx="1079025"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6</xdr:col>
      <xdr:colOff>885825</xdr:colOff>
      <xdr:row>5</xdr:row>
      <xdr:rowOff>114300</xdr:rowOff>
    </xdr:from>
    <xdr:to>
      <xdr:col>7</xdr:col>
      <xdr:colOff>851400</xdr:colOff>
      <xdr:row>6</xdr:row>
      <xdr:rowOff>156750</xdr:rowOff>
    </xdr:to>
    <xdr:sp macro="" textlink="">
      <xdr:nvSpPr>
        <xdr:cNvPr id="11" name="Rectangle à coins arrondis 2">
          <a:hlinkClick xmlns:r="http://schemas.openxmlformats.org/officeDocument/2006/relationships" r:id="rId3" tooltip="Option B"/>
          <a:extLst>
            <a:ext uri="{FF2B5EF4-FFF2-40B4-BE49-F238E27FC236}">
              <a16:creationId xmlns:a16="http://schemas.microsoft.com/office/drawing/2014/main" id="{00000000-0008-0000-1C00-00000B000000}"/>
            </a:ext>
          </a:extLst>
        </xdr:cNvPr>
        <xdr:cNvSpPr>
          <a:spLocks noChangeArrowheads="1"/>
        </xdr:cNvSpPr>
      </xdr:nvSpPr>
      <xdr:spPr bwMode="auto">
        <a:xfrm>
          <a:off x="6953250" y="1219200"/>
          <a:ext cx="1080000" cy="271050"/>
        </a:xfrm>
        <a:prstGeom prst="roundRect">
          <a:avLst>
            <a:gd name="adj" fmla="val 16667"/>
          </a:avLst>
        </a:prstGeom>
        <a:solidFill>
          <a:schemeClr val="bg1">
            <a:lumMod val="95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5</xdr:col>
      <xdr:colOff>47624</xdr:colOff>
      <xdr:row>5</xdr:row>
      <xdr:rowOff>123825</xdr:rowOff>
    </xdr:from>
    <xdr:to>
      <xdr:col>5</xdr:col>
      <xdr:colOff>443624</xdr:colOff>
      <xdr:row>6</xdr:row>
      <xdr:rowOff>166275</xdr:rowOff>
    </xdr:to>
    <xdr:sp macro="" textlink="">
      <xdr:nvSpPr>
        <xdr:cNvPr id="12" name="Flèche droite 6">
          <a:extLst>
            <a:ext uri="{FF2B5EF4-FFF2-40B4-BE49-F238E27FC236}">
              <a16:creationId xmlns:a16="http://schemas.microsoft.com/office/drawing/2014/main" id="{00000000-0008-0000-1C00-00000C000000}"/>
            </a:ext>
          </a:extLst>
        </xdr:cNvPr>
        <xdr:cNvSpPr/>
      </xdr:nvSpPr>
      <xdr:spPr>
        <a:xfrm>
          <a:off x="5067299" y="1228725"/>
          <a:ext cx="396000" cy="271050"/>
        </a:xfrm>
        <a:prstGeom prst="rightArrow">
          <a:avLst/>
        </a:prstGeom>
        <a:solidFill>
          <a:srgbClr val="76923C"/>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9</xdr:col>
      <xdr:colOff>323850</xdr:colOff>
      <xdr:row>78</xdr:row>
      <xdr:rowOff>66675</xdr:rowOff>
    </xdr:from>
    <xdr:to>
      <xdr:col>11</xdr:col>
      <xdr:colOff>209550</xdr:colOff>
      <xdr:row>81</xdr:row>
      <xdr:rowOff>58425</xdr:rowOff>
    </xdr:to>
    <xdr:sp macro="" textlink="">
      <xdr:nvSpPr>
        <xdr:cNvPr id="22" name="Rectangle à coins arrondis 2">
          <a:hlinkClick xmlns:r="http://schemas.openxmlformats.org/officeDocument/2006/relationships" r:id="rId4" tooltip="Resources"/>
          <a:extLst>
            <a:ext uri="{FF2B5EF4-FFF2-40B4-BE49-F238E27FC236}">
              <a16:creationId xmlns:a16="http://schemas.microsoft.com/office/drawing/2014/main" id="{00000000-0008-0000-1C00-000016000000}"/>
            </a:ext>
          </a:extLst>
        </xdr:cNvPr>
        <xdr:cNvSpPr>
          <a:spLocks noChangeArrowheads="1"/>
        </xdr:cNvSpPr>
      </xdr:nvSpPr>
      <xdr:spPr bwMode="auto">
        <a:xfrm>
          <a:off x="9639300" y="12773025"/>
          <a:ext cx="2047875" cy="5061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Equipment Life</a:t>
          </a:r>
        </a:p>
      </xdr:txBody>
    </xdr:sp>
    <xdr:clientData/>
  </xdr:twoCellAnchor>
  <xdr:twoCellAnchor>
    <xdr:from>
      <xdr:col>8</xdr:col>
      <xdr:colOff>76200</xdr:colOff>
      <xdr:row>5</xdr:row>
      <xdr:rowOff>114300</xdr:rowOff>
    </xdr:from>
    <xdr:to>
      <xdr:col>9</xdr:col>
      <xdr:colOff>12225</xdr:colOff>
      <xdr:row>6</xdr:row>
      <xdr:rowOff>156750</xdr:rowOff>
    </xdr:to>
    <xdr:sp macro="" textlink="">
      <xdr:nvSpPr>
        <xdr:cNvPr id="23" name="Rectangle à coins arrondis 2">
          <a:hlinkClick xmlns:r="http://schemas.openxmlformats.org/officeDocument/2006/relationships" r:id="rId5" tooltip="Option B"/>
          <a:extLst>
            <a:ext uri="{FF2B5EF4-FFF2-40B4-BE49-F238E27FC236}">
              <a16:creationId xmlns:a16="http://schemas.microsoft.com/office/drawing/2014/main" id="{00000000-0008-0000-1C00-000017000000}"/>
            </a:ext>
          </a:extLst>
        </xdr:cNvPr>
        <xdr:cNvSpPr>
          <a:spLocks noChangeArrowheads="1"/>
        </xdr:cNvSpPr>
      </xdr:nvSpPr>
      <xdr:spPr bwMode="auto">
        <a:xfrm>
          <a:off x="8305800" y="1219200"/>
          <a:ext cx="1079025"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C</a:t>
          </a:r>
        </a:p>
      </xdr:txBody>
    </xdr:sp>
    <xdr:clientData/>
  </xdr:twoCellAnchor>
  <xdr:twoCellAnchor>
    <xdr:from>
      <xdr:col>9</xdr:col>
      <xdr:colOff>466725</xdr:colOff>
      <xdr:row>1</xdr:row>
      <xdr:rowOff>114300</xdr:rowOff>
    </xdr:from>
    <xdr:to>
      <xdr:col>9</xdr:col>
      <xdr:colOff>914400</xdr:colOff>
      <xdr:row>3</xdr:row>
      <xdr:rowOff>85725</xdr:rowOff>
    </xdr:to>
    <xdr:sp macro="" textlink="">
      <xdr:nvSpPr>
        <xdr:cNvPr id="19" name="Up Arrow 18">
          <a:hlinkClick xmlns:r="http://schemas.openxmlformats.org/officeDocument/2006/relationships" r:id="rId6" tooltip="Back to top"/>
          <a:extLst>
            <a:ext uri="{FF2B5EF4-FFF2-40B4-BE49-F238E27FC236}">
              <a16:creationId xmlns:a16="http://schemas.microsoft.com/office/drawing/2014/main" id="{00000000-0008-0000-1C00-000013000000}"/>
            </a:ext>
          </a:extLst>
        </xdr:cNvPr>
        <xdr:cNvSpPr/>
      </xdr:nvSpPr>
      <xdr:spPr>
        <a:xfrm>
          <a:off x="9839325" y="419100"/>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314325</xdr:colOff>
      <xdr:row>1</xdr:row>
      <xdr:rowOff>142875</xdr:rowOff>
    </xdr:from>
    <xdr:to>
      <xdr:col>9</xdr:col>
      <xdr:colOff>287325</xdr:colOff>
      <xdr:row>3</xdr:row>
      <xdr:rowOff>49875</xdr:rowOff>
    </xdr:to>
    <xdr:sp macro="" textlink="">
      <xdr:nvSpPr>
        <xdr:cNvPr id="20" name="Rectangle à coins arrondis 2">
          <a:hlinkClick xmlns:r="http://schemas.openxmlformats.org/officeDocument/2006/relationships" r:id="rId7" tooltip="Glossary of the credit"/>
          <a:extLst>
            <a:ext uri="{FF2B5EF4-FFF2-40B4-BE49-F238E27FC236}">
              <a16:creationId xmlns:a16="http://schemas.microsoft.com/office/drawing/2014/main" id="{00000000-0008-0000-1C00-000014000000}"/>
            </a:ext>
          </a:extLst>
        </xdr:cNvPr>
        <xdr:cNvSpPr>
          <a:spLocks noChangeArrowheads="1"/>
        </xdr:cNvSpPr>
      </xdr:nvSpPr>
      <xdr:spPr bwMode="auto">
        <a:xfrm>
          <a:off x="8543925" y="447675"/>
          <a:ext cx="1116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0</xdr:col>
      <xdr:colOff>247650</xdr:colOff>
      <xdr:row>1</xdr:row>
      <xdr:rowOff>114300</xdr:rowOff>
    </xdr:from>
    <xdr:to>
      <xdr:col>2</xdr:col>
      <xdr:colOff>1157925</xdr:colOff>
      <xdr:row>3</xdr:row>
      <xdr:rowOff>57300</xdr:rowOff>
    </xdr:to>
    <xdr:sp macro="" textlink="">
      <xdr:nvSpPr>
        <xdr:cNvPr id="24" name="Rectangle à coins arrondis 2">
          <a:hlinkClick xmlns:r="http://schemas.openxmlformats.org/officeDocument/2006/relationships" r:id="rId8" tooltip="Back to Site &amp; Environment"/>
          <a:extLst>
            <a:ext uri="{FF2B5EF4-FFF2-40B4-BE49-F238E27FC236}">
              <a16:creationId xmlns:a16="http://schemas.microsoft.com/office/drawing/2014/main" id="{6C56A443-586F-4732-8207-43D32EB453C4}"/>
            </a:ext>
          </a:extLst>
        </xdr:cNvPr>
        <xdr:cNvSpPr>
          <a:spLocks noChangeArrowheads="1"/>
        </xdr:cNvSpPr>
      </xdr:nvSpPr>
      <xdr:spPr bwMode="auto">
        <a:xfrm>
          <a:off x="247650" y="419100"/>
          <a:ext cx="25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Site &amp; Environment</a:t>
          </a:r>
        </a:p>
      </xdr:txBody>
    </xdr:sp>
    <xdr:clientData/>
  </xdr:twoCellAnchor>
  <xdr:twoCellAnchor editAs="oneCell">
    <xdr:from>
      <xdr:col>1</xdr:col>
      <xdr:colOff>38100</xdr:colOff>
      <xdr:row>30</xdr:row>
      <xdr:rowOff>0</xdr:rowOff>
    </xdr:from>
    <xdr:to>
      <xdr:col>1</xdr:col>
      <xdr:colOff>434100</xdr:colOff>
      <xdr:row>32</xdr:row>
      <xdr:rowOff>15000</xdr:rowOff>
    </xdr:to>
    <xdr:pic>
      <xdr:nvPicPr>
        <xdr:cNvPr id="30" name="Picture 29">
          <a:extLst>
            <a:ext uri="{FF2B5EF4-FFF2-40B4-BE49-F238E27FC236}">
              <a16:creationId xmlns:a16="http://schemas.microsoft.com/office/drawing/2014/main" id="{A64072A1-633A-479A-AC55-72E2424614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8143875"/>
          <a:ext cx="396000" cy="396000"/>
        </a:xfrm>
        <a:prstGeom prst="rect">
          <a:avLst/>
        </a:prstGeom>
      </xdr:spPr>
    </xdr:pic>
    <xdr:clientData/>
  </xdr:twoCellAnchor>
  <xdr:twoCellAnchor editAs="oneCell">
    <xdr:from>
      <xdr:col>1</xdr:col>
      <xdr:colOff>38100</xdr:colOff>
      <xdr:row>33</xdr:row>
      <xdr:rowOff>85725</xdr:rowOff>
    </xdr:from>
    <xdr:to>
      <xdr:col>1</xdr:col>
      <xdr:colOff>398100</xdr:colOff>
      <xdr:row>35</xdr:row>
      <xdr:rowOff>102825</xdr:rowOff>
    </xdr:to>
    <xdr:pic>
      <xdr:nvPicPr>
        <xdr:cNvPr id="31" name="Picture 30">
          <a:extLst>
            <a:ext uri="{FF2B5EF4-FFF2-40B4-BE49-F238E27FC236}">
              <a16:creationId xmlns:a16="http://schemas.microsoft.com/office/drawing/2014/main" id="{96024146-3243-485B-A8EE-686629E96FF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8801100"/>
          <a:ext cx="360000" cy="360000"/>
        </a:xfrm>
        <a:prstGeom prst="rect">
          <a:avLst/>
        </a:prstGeom>
      </xdr:spPr>
    </xdr:pic>
    <xdr:clientData/>
  </xdr:twoCellAnchor>
  <xdr:twoCellAnchor editAs="oneCell">
    <xdr:from>
      <xdr:col>1</xdr:col>
      <xdr:colOff>28575</xdr:colOff>
      <xdr:row>73</xdr:row>
      <xdr:rowOff>76200</xdr:rowOff>
    </xdr:from>
    <xdr:to>
      <xdr:col>1</xdr:col>
      <xdr:colOff>388575</xdr:colOff>
      <xdr:row>75</xdr:row>
      <xdr:rowOff>93300</xdr:rowOff>
    </xdr:to>
    <xdr:pic>
      <xdr:nvPicPr>
        <xdr:cNvPr id="32" name="Picture 31">
          <a:extLst>
            <a:ext uri="{FF2B5EF4-FFF2-40B4-BE49-F238E27FC236}">
              <a16:creationId xmlns:a16="http://schemas.microsoft.com/office/drawing/2014/main" id="{7C00371E-FE92-49CE-A8BA-06F33E1009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75" y="17859375"/>
          <a:ext cx="360000" cy="360000"/>
        </a:xfrm>
        <a:prstGeom prst="rect">
          <a:avLst/>
        </a:prstGeom>
      </xdr:spPr>
    </xdr:pic>
    <xdr:clientData/>
  </xdr:twoCellAnchor>
  <xdr:oneCellAnchor>
    <xdr:from>
      <xdr:col>1</xdr:col>
      <xdr:colOff>95250</xdr:colOff>
      <xdr:row>59</xdr:row>
      <xdr:rowOff>76200</xdr:rowOff>
    </xdr:from>
    <xdr:ext cx="396000" cy="396000"/>
    <xdr:pic>
      <xdr:nvPicPr>
        <xdr:cNvPr id="33" name="Picture 32">
          <a:extLst>
            <a:ext uri="{FF2B5EF4-FFF2-40B4-BE49-F238E27FC236}">
              <a16:creationId xmlns:a16="http://schemas.microsoft.com/office/drawing/2014/main" id="{622293C3-ECF5-49B6-A1FC-55BADB8B26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 y="15220950"/>
          <a:ext cx="396000" cy="396000"/>
        </a:xfrm>
        <a:prstGeom prst="rect">
          <a:avLst/>
        </a:prstGeom>
      </xdr:spPr>
    </xdr:pic>
    <xdr:clientData/>
  </xdr:oneCellAnchor>
  <xdr:oneCellAnchor>
    <xdr:from>
      <xdr:col>1</xdr:col>
      <xdr:colOff>66675</xdr:colOff>
      <xdr:row>123</xdr:row>
      <xdr:rowOff>171450</xdr:rowOff>
    </xdr:from>
    <xdr:ext cx="540000" cy="540000"/>
    <xdr:pic>
      <xdr:nvPicPr>
        <xdr:cNvPr id="34" name="Picture 33">
          <a:extLst>
            <a:ext uri="{FF2B5EF4-FFF2-40B4-BE49-F238E27FC236}">
              <a16:creationId xmlns:a16="http://schemas.microsoft.com/office/drawing/2014/main" id="{0225257B-5BF2-4487-9EC9-64BD933171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675" y="28203525"/>
          <a:ext cx="540000" cy="540000"/>
        </a:xfrm>
        <a:prstGeom prst="rect">
          <a:avLst/>
        </a:prstGeom>
      </xdr:spPr>
    </xdr:pic>
    <xdr:clientData/>
  </xdr:oneCellAnchor>
  <xdr:twoCellAnchor editAs="oneCell">
    <xdr:from>
      <xdr:col>1</xdr:col>
      <xdr:colOff>85725</xdr:colOff>
      <xdr:row>126</xdr:row>
      <xdr:rowOff>171450</xdr:rowOff>
    </xdr:from>
    <xdr:to>
      <xdr:col>1</xdr:col>
      <xdr:colOff>445725</xdr:colOff>
      <xdr:row>128</xdr:row>
      <xdr:rowOff>74250</xdr:rowOff>
    </xdr:to>
    <xdr:pic>
      <xdr:nvPicPr>
        <xdr:cNvPr id="35" name="Picture 34">
          <a:extLst>
            <a:ext uri="{FF2B5EF4-FFF2-40B4-BE49-F238E27FC236}">
              <a16:creationId xmlns:a16="http://schemas.microsoft.com/office/drawing/2014/main" id="{97F7CB96-2D75-48C5-8427-8ADEF257CA3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6725" y="29498925"/>
          <a:ext cx="360000" cy="360000"/>
        </a:xfrm>
        <a:prstGeom prst="rect">
          <a:avLst/>
        </a:prstGeom>
      </xdr:spPr>
    </xdr:pic>
    <xdr:clientData/>
  </xdr:twoCellAnchor>
  <xdr:twoCellAnchor editAs="oneCell">
    <xdr:from>
      <xdr:col>1</xdr:col>
      <xdr:colOff>28575</xdr:colOff>
      <xdr:row>20</xdr:row>
      <xdr:rowOff>85725</xdr:rowOff>
    </xdr:from>
    <xdr:to>
      <xdr:col>1</xdr:col>
      <xdr:colOff>494760</xdr:colOff>
      <xdr:row>22</xdr:row>
      <xdr:rowOff>134625</xdr:rowOff>
    </xdr:to>
    <xdr:pic>
      <xdr:nvPicPr>
        <xdr:cNvPr id="36" name="Picture 35">
          <a:extLst>
            <a:ext uri="{FF2B5EF4-FFF2-40B4-BE49-F238E27FC236}">
              <a16:creationId xmlns:a16="http://schemas.microsoft.com/office/drawing/2014/main" id="{09040884-EC9B-4256-83B9-575CA776B3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09575" y="6181725"/>
          <a:ext cx="466185" cy="468000"/>
        </a:xfrm>
        <a:prstGeom prst="rect">
          <a:avLst/>
        </a:prstGeom>
      </xdr:spPr>
    </xdr:pic>
    <xdr:clientData/>
  </xdr:twoCellAnchor>
  <xdr:twoCellAnchor editAs="oneCell">
    <xdr:from>
      <xdr:col>1</xdr:col>
      <xdr:colOff>47625</xdr:colOff>
      <xdr:row>67</xdr:row>
      <xdr:rowOff>171450</xdr:rowOff>
    </xdr:from>
    <xdr:to>
      <xdr:col>1</xdr:col>
      <xdr:colOff>515625</xdr:colOff>
      <xdr:row>70</xdr:row>
      <xdr:rowOff>67950</xdr:rowOff>
    </xdr:to>
    <xdr:pic>
      <xdr:nvPicPr>
        <xdr:cNvPr id="38" name="Picture 37">
          <a:extLst>
            <a:ext uri="{FF2B5EF4-FFF2-40B4-BE49-F238E27FC236}">
              <a16:creationId xmlns:a16="http://schemas.microsoft.com/office/drawing/2014/main" id="{56995C7D-EA8E-4F28-A3FD-11B46457EA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8625" y="16735425"/>
          <a:ext cx="468000" cy="468000"/>
        </a:xfrm>
        <a:prstGeom prst="rect">
          <a:avLst/>
        </a:prstGeom>
      </xdr:spPr>
    </xdr:pic>
    <xdr:clientData/>
  </xdr:twoCellAnchor>
  <xdr:twoCellAnchor editAs="oneCell">
    <xdr:from>
      <xdr:col>1</xdr:col>
      <xdr:colOff>0</xdr:colOff>
      <xdr:row>116</xdr:row>
      <xdr:rowOff>95250</xdr:rowOff>
    </xdr:from>
    <xdr:to>
      <xdr:col>1</xdr:col>
      <xdr:colOff>504000</xdr:colOff>
      <xdr:row>119</xdr:row>
      <xdr:rowOff>27750</xdr:rowOff>
    </xdr:to>
    <xdr:pic>
      <xdr:nvPicPr>
        <xdr:cNvPr id="6" name="Picture 5">
          <a:extLst>
            <a:ext uri="{FF2B5EF4-FFF2-40B4-BE49-F238E27FC236}">
              <a16:creationId xmlns:a16="http://schemas.microsoft.com/office/drawing/2014/main" id="{19A3C4CF-DD0D-454C-B398-D4B6C02BF268}"/>
            </a:ext>
          </a:extLst>
        </xdr:cNvPr>
        <xdr:cNvPicPr>
          <a:picLocks noChangeAspect="1"/>
        </xdr:cNvPicPr>
      </xdr:nvPicPr>
      <xdr:blipFill>
        <a:blip xmlns:r="http://schemas.openxmlformats.org/officeDocument/2006/relationships" r:embed="rId13"/>
        <a:stretch>
          <a:fillRect/>
        </a:stretch>
      </xdr:blipFill>
      <xdr:spPr>
        <a:xfrm>
          <a:off x="381000" y="26793825"/>
          <a:ext cx="504000" cy="504000"/>
        </a:xfrm>
        <a:prstGeom prst="rect">
          <a:avLst/>
        </a:prstGeom>
      </xdr:spPr>
    </xdr:pic>
    <xdr:clientData/>
  </xdr:twoCellAnchor>
  <xdr:twoCellAnchor editAs="oneCell">
    <xdr:from>
      <xdr:col>1</xdr:col>
      <xdr:colOff>95250</xdr:colOff>
      <xdr:row>61</xdr:row>
      <xdr:rowOff>180975</xdr:rowOff>
    </xdr:from>
    <xdr:to>
      <xdr:col>1</xdr:col>
      <xdr:colOff>491250</xdr:colOff>
      <xdr:row>64</xdr:row>
      <xdr:rowOff>43575</xdr:rowOff>
    </xdr:to>
    <xdr:pic>
      <xdr:nvPicPr>
        <xdr:cNvPr id="39" name="Picture 38">
          <a:extLst>
            <a:ext uri="{FF2B5EF4-FFF2-40B4-BE49-F238E27FC236}">
              <a16:creationId xmlns:a16="http://schemas.microsoft.com/office/drawing/2014/main" id="{BD5A4F97-A06E-4723-ACE0-99067AD84308}"/>
            </a:ext>
          </a:extLst>
        </xdr:cNvPr>
        <xdr:cNvPicPr>
          <a:picLocks noChangeAspect="1"/>
        </xdr:cNvPicPr>
      </xdr:nvPicPr>
      <xdr:blipFill>
        <a:blip xmlns:r="http://schemas.openxmlformats.org/officeDocument/2006/relationships" r:embed="rId13"/>
        <a:stretch>
          <a:fillRect/>
        </a:stretch>
      </xdr:blipFill>
      <xdr:spPr>
        <a:xfrm>
          <a:off x="476250" y="15687675"/>
          <a:ext cx="396000" cy="396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628650</xdr:colOff>
      <xdr:row>1</xdr:row>
      <xdr:rowOff>104775</xdr:rowOff>
    </xdr:from>
    <xdr:to>
      <xdr:col>5</xdr:col>
      <xdr:colOff>331200</xdr:colOff>
      <xdr:row>3</xdr:row>
      <xdr:rowOff>47775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2C00-000003000000}"/>
            </a:ext>
          </a:extLst>
        </xdr:cNvPr>
        <xdr:cNvSpPr>
          <a:spLocks noChangeArrowheads="1"/>
        </xdr:cNvSpPr>
      </xdr:nvSpPr>
      <xdr:spPr bwMode="auto">
        <a:xfrm>
          <a:off x="3352800" y="4000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85725</xdr:rowOff>
    </xdr:from>
    <xdr:to>
      <xdr:col>1</xdr:col>
      <xdr:colOff>405525</xdr:colOff>
      <xdr:row>16</xdr:row>
      <xdr:rowOff>100725</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3200400"/>
          <a:ext cx="396000" cy="396000"/>
        </a:xfrm>
        <a:prstGeom prst="rect">
          <a:avLst/>
        </a:prstGeom>
      </xdr:spPr>
    </xdr:pic>
    <xdr:clientData/>
  </xdr:twoCellAnchor>
  <xdr:twoCellAnchor editAs="oneCell">
    <xdr:from>
      <xdr:col>1</xdr:col>
      <xdr:colOff>28575</xdr:colOff>
      <xdr:row>17</xdr:row>
      <xdr:rowOff>66675</xdr:rowOff>
    </xdr:from>
    <xdr:to>
      <xdr:col>1</xdr:col>
      <xdr:colOff>424575</xdr:colOff>
      <xdr:row>19</xdr:row>
      <xdr:rowOff>100725</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3752850"/>
          <a:ext cx="396000" cy="396000"/>
        </a:xfrm>
        <a:prstGeom prst="rect">
          <a:avLst/>
        </a:prstGeom>
      </xdr:spPr>
    </xdr:pic>
    <xdr:clientData/>
  </xdr:twoCellAnchor>
  <xdr:twoCellAnchor>
    <xdr:from>
      <xdr:col>8</xdr:col>
      <xdr:colOff>209550</xdr:colOff>
      <xdr:row>1</xdr:row>
      <xdr:rowOff>142875</xdr:rowOff>
    </xdr:from>
    <xdr:to>
      <xdr:col>8</xdr:col>
      <xdr:colOff>657225</xdr:colOff>
      <xdr:row>3</xdr:row>
      <xdr:rowOff>114300</xdr:rowOff>
    </xdr:to>
    <xdr:sp macro="" textlink="">
      <xdr:nvSpPr>
        <xdr:cNvPr id="7" name="Up Arrow 6">
          <a:hlinkClick xmlns:r="http://schemas.openxmlformats.org/officeDocument/2006/relationships" r:id="rId4" tooltip="Back to top"/>
          <a:extLst>
            <a:ext uri="{FF2B5EF4-FFF2-40B4-BE49-F238E27FC236}">
              <a16:creationId xmlns:a16="http://schemas.microsoft.com/office/drawing/2014/main" id="{00000000-0008-0000-2C00-000007000000}"/>
            </a:ext>
          </a:extLst>
        </xdr:cNvPr>
        <xdr:cNvSpPr/>
      </xdr:nvSpPr>
      <xdr:spPr>
        <a:xfrm>
          <a:off x="9239250" y="44767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238125</xdr:colOff>
      <xdr:row>1</xdr:row>
      <xdr:rowOff>114300</xdr:rowOff>
    </xdr:from>
    <xdr:to>
      <xdr:col>3</xdr:col>
      <xdr:colOff>33975</xdr:colOff>
      <xdr:row>3</xdr:row>
      <xdr:rowOff>57300</xdr:rowOff>
    </xdr:to>
    <xdr:sp macro="" textlink="">
      <xdr:nvSpPr>
        <xdr:cNvPr id="8" name="Rectangle à coins arrondis 2">
          <a:hlinkClick xmlns:r="http://schemas.openxmlformats.org/officeDocument/2006/relationships" r:id="rId5" tooltip="Back to Site &amp; Environment"/>
          <a:extLst>
            <a:ext uri="{FF2B5EF4-FFF2-40B4-BE49-F238E27FC236}">
              <a16:creationId xmlns:a16="http://schemas.microsoft.com/office/drawing/2014/main" id="{8053E54F-A677-4AFF-80BB-32FC4198C45C}"/>
            </a:ext>
          </a:extLst>
        </xdr:cNvPr>
        <xdr:cNvSpPr>
          <a:spLocks noChangeArrowheads="1"/>
        </xdr:cNvSpPr>
      </xdr:nvSpPr>
      <xdr:spPr bwMode="auto">
        <a:xfrm>
          <a:off x="238125" y="419100"/>
          <a:ext cx="25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Site &amp; Environment</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116417</xdr:colOff>
      <xdr:row>0</xdr:row>
      <xdr:rowOff>52916</xdr:rowOff>
    </xdr:from>
    <xdr:to>
      <xdr:col>11</xdr:col>
      <xdr:colOff>114817</xdr:colOff>
      <xdr:row>3</xdr:row>
      <xdr:rowOff>7949</xdr:rowOff>
    </xdr:to>
    <xdr:pic>
      <xdr:nvPicPr>
        <xdr:cNvPr id="4" name="Image 7" descr="management.png">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0572750" y="52916"/>
          <a:ext cx="887400" cy="907533"/>
        </a:xfrm>
        <a:prstGeom prst="rect">
          <a:avLst/>
        </a:prstGeom>
        <a:noFill/>
        <a:ln w="9525">
          <a:noFill/>
          <a:miter lim="800000"/>
          <a:headEnd/>
          <a:tailEnd/>
        </a:ln>
      </xdr:spPr>
    </xdr:pic>
    <xdr:clientData/>
  </xdr:twoCellAnchor>
  <xdr:twoCellAnchor>
    <xdr:from>
      <xdr:col>1</xdr:col>
      <xdr:colOff>42333</xdr:colOff>
      <xdr:row>11</xdr:row>
      <xdr:rowOff>31750</xdr:rowOff>
    </xdr:from>
    <xdr:to>
      <xdr:col>1</xdr:col>
      <xdr:colOff>2022333</xdr:colOff>
      <xdr:row>13</xdr:row>
      <xdr:rowOff>46750</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D00-000005000000}"/>
            </a:ext>
          </a:extLst>
        </xdr:cNvPr>
        <xdr:cNvSpPr>
          <a:spLocks noChangeArrowheads="1"/>
        </xdr:cNvSpPr>
      </xdr:nvSpPr>
      <xdr:spPr bwMode="auto">
        <a:xfrm>
          <a:off x="423333" y="281516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352423</xdr:colOff>
      <xdr:row>1</xdr:row>
      <xdr:rowOff>123826</xdr:rowOff>
    </xdr:from>
    <xdr:to>
      <xdr:col>2</xdr:col>
      <xdr:colOff>362698</xdr:colOff>
      <xdr:row>3</xdr:row>
      <xdr:rowOff>66826</xdr:rowOff>
    </xdr:to>
    <xdr:sp macro="" textlink="">
      <xdr:nvSpPr>
        <xdr:cNvPr id="5" name="Rectangle à coins arrondis 2">
          <a:hlinkClick xmlns:r="http://schemas.openxmlformats.org/officeDocument/2006/relationships" r:id="rId1" tooltip="Back to C&amp;M"/>
          <a:extLst>
            <a:ext uri="{FF2B5EF4-FFF2-40B4-BE49-F238E27FC236}">
              <a16:creationId xmlns:a16="http://schemas.microsoft.com/office/drawing/2014/main" id="{00000000-0008-0000-2E00-000005000000}"/>
            </a:ext>
          </a:extLst>
        </xdr:cNvPr>
        <xdr:cNvSpPr>
          <a:spLocks noChangeArrowheads="1"/>
        </xdr:cNvSpPr>
      </xdr:nvSpPr>
      <xdr:spPr bwMode="auto">
        <a:xfrm>
          <a:off x="352423" y="447676"/>
          <a:ext cx="16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561975</xdr:colOff>
      <xdr:row>1</xdr:row>
      <xdr:rowOff>123825</xdr:rowOff>
    </xdr:from>
    <xdr:to>
      <xdr:col>3</xdr:col>
      <xdr:colOff>1058025</xdr:colOff>
      <xdr:row>3</xdr:row>
      <xdr:rowOff>66825</xdr:rowOff>
    </xdr:to>
    <xdr:sp macro="" textlink="">
      <xdr:nvSpPr>
        <xdr:cNvPr id="6" name="Rectangle à coins arrondis 5">
          <a:hlinkClick xmlns:r="http://schemas.openxmlformats.org/officeDocument/2006/relationships" r:id="rId2" tooltip="Scorecard"/>
          <a:extLst>
            <a:ext uri="{FF2B5EF4-FFF2-40B4-BE49-F238E27FC236}">
              <a16:creationId xmlns:a16="http://schemas.microsoft.com/office/drawing/2014/main" id="{00000000-0008-0000-2E00-000006000000}"/>
            </a:ext>
          </a:extLst>
        </xdr:cNvPr>
        <xdr:cNvSpPr>
          <a:spLocks noChangeArrowheads="1"/>
        </xdr:cNvSpPr>
      </xdr:nvSpPr>
      <xdr:spPr bwMode="auto">
        <a:xfrm>
          <a:off x="2171700" y="447675"/>
          <a:ext cx="162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161925</xdr:colOff>
      <xdr:row>1</xdr:row>
      <xdr:rowOff>152400</xdr:rowOff>
    </xdr:from>
    <xdr:to>
      <xdr:col>4</xdr:col>
      <xdr:colOff>1097925</xdr:colOff>
      <xdr:row>3</xdr:row>
      <xdr:rowOff>59400</xdr:rowOff>
    </xdr:to>
    <xdr:sp macro="" textlink="">
      <xdr:nvSpPr>
        <xdr:cNvPr id="7" name="Rectangle à coins arrondis 2">
          <a:hlinkClick xmlns:r="http://schemas.openxmlformats.org/officeDocument/2006/relationships" r:id="rId3" tooltip="Strategy A"/>
          <a:extLst>
            <a:ext uri="{FF2B5EF4-FFF2-40B4-BE49-F238E27FC236}">
              <a16:creationId xmlns:a16="http://schemas.microsoft.com/office/drawing/2014/main" id="{00000000-0008-0000-2E00-000007000000}"/>
            </a:ext>
          </a:extLst>
        </xdr:cNvPr>
        <xdr:cNvSpPr>
          <a:spLocks noChangeArrowheads="1"/>
        </xdr:cNvSpPr>
      </xdr:nvSpPr>
      <xdr:spPr bwMode="auto">
        <a:xfrm>
          <a:off x="412432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4</xdr:col>
      <xdr:colOff>1171575</xdr:colOff>
      <xdr:row>1</xdr:row>
      <xdr:rowOff>152400</xdr:rowOff>
    </xdr:from>
    <xdr:to>
      <xdr:col>5</xdr:col>
      <xdr:colOff>878850</xdr:colOff>
      <xdr:row>3</xdr:row>
      <xdr:rowOff>59400</xdr:rowOff>
    </xdr:to>
    <xdr:sp macro="" textlink="">
      <xdr:nvSpPr>
        <xdr:cNvPr id="8" name="Rectangle à coins arrondis 2">
          <a:hlinkClick xmlns:r="http://schemas.openxmlformats.org/officeDocument/2006/relationships" r:id="rId4" tooltip="Strategy B"/>
          <a:extLst>
            <a:ext uri="{FF2B5EF4-FFF2-40B4-BE49-F238E27FC236}">
              <a16:creationId xmlns:a16="http://schemas.microsoft.com/office/drawing/2014/main" id="{00000000-0008-0000-2E00-000008000000}"/>
            </a:ext>
          </a:extLst>
        </xdr:cNvPr>
        <xdr:cNvSpPr>
          <a:spLocks noChangeArrowheads="1"/>
        </xdr:cNvSpPr>
      </xdr:nvSpPr>
      <xdr:spPr bwMode="auto">
        <a:xfrm>
          <a:off x="513397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952500</xdr:colOff>
      <xdr:row>1</xdr:row>
      <xdr:rowOff>152400</xdr:rowOff>
    </xdr:from>
    <xdr:to>
      <xdr:col>6</xdr:col>
      <xdr:colOff>659775</xdr:colOff>
      <xdr:row>3</xdr:row>
      <xdr:rowOff>59400</xdr:rowOff>
    </xdr:to>
    <xdr:sp macro="" textlink="">
      <xdr:nvSpPr>
        <xdr:cNvPr id="9" name="Rectangle à coins arrondis 2">
          <a:hlinkClick xmlns:r="http://schemas.openxmlformats.org/officeDocument/2006/relationships" r:id="rId5" tooltip="Strategy C"/>
          <a:extLst>
            <a:ext uri="{FF2B5EF4-FFF2-40B4-BE49-F238E27FC236}">
              <a16:creationId xmlns:a16="http://schemas.microsoft.com/office/drawing/2014/main" id="{00000000-0008-0000-2E00-000009000000}"/>
            </a:ext>
          </a:extLst>
        </xdr:cNvPr>
        <xdr:cNvSpPr>
          <a:spLocks noChangeArrowheads="1"/>
        </xdr:cNvSpPr>
      </xdr:nvSpPr>
      <xdr:spPr bwMode="auto">
        <a:xfrm>
          <a:off x="614362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733425</xdr:colOff>
      <xdr:row>1</xdr:row>
      <xdr:rowOff>152400</xdr:rowOff>
    </xdr:from>
    <xdr:to>
      <xdr:col>7</xdr:col>
      <xdr:colOff>450225</xdr:colOff>
      <xdr:row>3</xdr:row>
      <xdr:rowOff>59400</xdr:rowOff>
    </xdr:to>
    <xdr:sp macro="" textlink="">
      <xdr:nvSpPr>
        <xdr:cNvPr id="10" name="Rectangle à coins arrondis 2">
          <a:hlinkClick xmlns:r="http://schemas.openxmlformats.org/officeDocument/2006/relationships" r:id="rId6" tooltip="Strategy D"/>
          <a:extLst>
            <a:ext uri="{FF2B5EF4-FFF2-40B4-BE49-F238E27FC236}">
              <a16:creationId xmlns:a16="http://schemas.microsoft.com/office/drawing/2014/main" id="{00000000-0008-0000-2E00-00000A000000}"/>
            </a:ext>
          </a:extLst>
        </xdr:cNvPr>
        <xdr:cNvSpPr>
          <a:spLocks noChangeArrowheads="1"/>
        </xdr:cNvSpPr>
      </xdr:nvSpPr>
      <xdr:spPr bwMode="auto">
        <a:xfrm>
          <a:off x="7153275" y="476250"/>
          <a:ext cx="936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38100</xdr:colOff>
      <xdr:row>92</xdr:row>
      <xdr:rowOff>66675</xdr:rowOff>
    </xdr:from>
    <xdr:to>
      <xdr:col>1</xdr:col>
      <xdr:colOff>398100</xdr:colOff>
      <xdr:row>94</xdr:row>
      <xdr:rowOff>83775</xdr:rowOff>
    </xdr:to>
    <xdr:pic>
      <xdr:nvPicPr>
        <xdr:cNvPr id="13" name="Picture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7116425"/>
          <a:ext cx="360000" cy="360000"/>
        </a:xfrm>
        <a:prstGeom prst="rect">
          <a:avLst/>
        </a:prstGeom>
      </xdr:spPr>
    </xdr:pic>
    <xdr:clientData/>
  </xdr:twoCellAnchor>
  <xdr:oneCellAnchor>
    <xdr:from>
      <xdr:col>1</xdr:col>
      <xdr:colOff>38100</xdr:colOff>
      <xdr:row>94</xdr:row>
      <xdr:rowOff>142875</xdr:rowOff>
    </xdr:from>
    <xdr:ext cx="360000" cy="360000"/>
    <xdr:pic>
      <xdr:nvPicPr>
        <xdr:cNvPr id="14" name="Picture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20107275"/>
          <a:ext cx="360000" cy="360000"/>
        </a:xfrm>
        <a:prstGeom prst="rect">
          <a:avLst/>
        </a:prstGeom>
      </xdr:spPr>
    </xdr:pic>
    <xdr:clientData/>
  </xdr:oneCellAnchor>
  <xdr:twoCellAnchor editAs="oneCell">
    <xdr:from>
      <xdr:col>1</xdr:col>
      <xdr:colOff>38100</xdr:colOff>
      <xdr:row>68</xdr:row>
      <xdr:rowOff>66675</xdr:rowOff>
    </xdr:from>
    <xdr:to>
      <xdr:col>1</xdr:col>
      <xdr:colOff>398100</xdr:colOff>
      <xdr:row>70</xdr:row>
      <xdr:rowOff>83775</xdr:rowOff>
    </xdr:to>
    <xdr:pic>
      <xdr:nvPicPr>
        <xdr:cNvPr id="15" name="Picture 14">
          <a:extLst>
            <a:ext uri="{FF2B5EF4-FFF2-40B4-BE49-F238E27FC236}">
              <a16:creationId xmlns:a16="http://schemas.microsoft.com/office/drawing/2014/main" id="{00000000-0008-0000-2E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11801475"/>
          <a:ext cx="360000" cy="360000"/>
        </a:xfrm>
        <a:prstGeom prst="rect">
          <a:avLst/>
        </a:prstGeom>
      </xdr:spPr>
    </xdr:pic>
    <xdr:clientData/>
  </xdr:twoCellAnchor>
  <xdr:twoCellAnchor editAs="oneCell">
    <xdr:from>
      <xdr:col>1</xdr:col>
      <xdr:colOff>28575</xdr:colOff>
      <xdr:row>20</xdr:row>
      <xdr:rowOff>76200</xdr:rowOff>
    </xdr:from>
    <xdr:to>
      <xdr:col>1</xdr:col>
      <xdr:colOff>388575</xdr:colOff>
      <xdr:row>22</xdr:row>
      <xdr:rowOff>93300</xdr:rowOff>
    </xdr:to>
    <xdr:pic>
      <xdr:nvPicPr>
        <xdr:cNvPr id="16" name="Picture 15">
          <a:extLst>
            <a:ext uri="{FF2B5EF4-FFF2-40B4-BE49-F238E27FC236}">
              <a16:creationId xmlns:a16="http://schemas.microsoft.com/office/drawing/2014/main" id="{00000000-0008-0000-2E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5191125"/>
          <a:ext cx="360000" cy="360000"/>
        </a:xfrm>
        <a:prstGeom prst="rect">
          <a:avLst/>
        </a:prstGeom>
      </xdr:spPr>
    </xdr:pic>
    <xdr:clientData/>
  </xdr:twoCellAnchor>
  <xdr:oneCellAnchor>
    <xdr:from>
      <xdr:col>1</xdr:col>
      <xdr:colOff>19050</xdr:colOff>
      <xdr:row>131</xdr:row>
      <xdr:rowOff>123825</xdr:rowOff>
    </xdr:from>
    <xdr:ext cx="360000" cy="360000"/>
    <xdr:pic>
      <xdr:nvPicPr>
        <xdr:cNvPr id="17" name="Picture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0050" y="27041475"/>
          <a:ext cx="360000" cy="360000"/>
        </a:xfrm>
        <a:prstGeom prst="rect">
          <a:avLst/>
        </a:prstGeom>
      </xdr:spPr>
    </xdr:pic>
    <xdr:clientData/>
  </xdr:oneCellAnchor>
  <xdr:oneCellAnchor>
    <xdr:from>
      <xdr:col>1</xdr:col>
      <xdr:colOff>47625</xdr:colOff>
      <xdr:row>70</xdr:row>
      <xdr:rowOff>142875</xdr:rowOff>
    </xdr:from>
    <xdr:ext cx="360000" cy="360000"/>
    <xdr:pic>
      <xdr:nvPicPr>
        <xdr:cNvPr id="18" name="Picture 17">
          <a:extLst>
            <a:ext uri="{FF2B5EF4-FFF2-40B4-BE49-F238E27FC236}">
              <a16:creationId xmlns:a16="http://schemas.microsoft.com/office/drawing/2014/main" id="{00000000-0008-0000-2E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2220575"/>
          <a:ext cx="360000" cy="360000"/>
        </a:xfrm>
        <a:prstGeom prst="rect">
          <a:avLst/>
        </a:prstGeom>
      </xdr:spPr>
    </xdr:pic>
    <xdr:clientData/>
  </xdr:oneCellAnchor>
  <xdr:oneCellAnchor>
    <xdr:from>
      <xdr:col>1</xdr:col>
      <xdr:colOff>28575</xdr:colOff>
      <xdr:row>22</xdr:row>
      <xdr:rowOff>142875</xdr:rowOff>
    </xdr:from>
    <xdr:ext cx="360000" cy="360000"/>
    <xdr:pic>
      <xdr:nvPicPr>
        <xdr:cNvPr id="19" name="Picture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5581650"/>
          <a:ext cx="360000" cy="360000"/>
        </a:xfrm>
        <a:prstGeom prst="rect">
          <a:avLst/>
        </a:prstGeom>
      </xdr:spPr>
    </xdr:pic>
    <xdr:clientData/>
  </xdr:oneCellAnchor>
  <xdr:oneCellAnchor>
    <xdr:from>
      <xdr:col>1</xdr:col>
      <xdr:colOff>38100</xdr:colOff>
      <xdr:row>133</xdr:row>
      <xdr:rowOff>161925</xdr:rowOff>
    </xdr:from>
    <xdr:ext cx="360000" cy="360000"/>
    <xdr:pic>
      <xdr:nvPicPr>
        <xdr:cNvPr id="20" name="Picture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30822900"/>
          <a:ext cx="360000" cy="360000"/>
        </a:xfrm>
        <a:prstGeom prst="rect">
          <a:avLst/>
        </a:prstGeom>
      </xdr:spPr>
    </xdr:pic>
    <xdr:clientData/>
  </xdr:oneCellAnchor>
  <xdr:twoCellAnchor>
    <xdr:from>
      <xdr:col>7</xdr:col>
      <xdr:colOff>590550</xdr:colOff>
      <xdr:row>1</xdr:row>
      <xdr:rowOff>114300</xdr:rowOff>
    </xdr:from>
    <xdr:to>
      <xdr:col>7</xdr:col>
      <xdr:colOff>1038225</xdr:colOff>
      <xdr:row>3</xdr:row>
      <xdr:rowOff>85725</xdr:rowOff>
    </xdr:to>
    <xdr:sp macro="" textlink="">
      <xdr:nvSpPr>
        <xdr:cNvPr id="21" name="Up Arrow 20">
          <a:hlinkClick xmlns:r="http://schemas.openxmlformats.org/officeDocument/2006/relationships" r:id="rId9" tooltip="Back to top"/>
          <a:extLst>
            <a:ext uri="{FF2B5EF4-FFF2-40B4-BE49-F238E27FC236}">
              <a16:creationId xmlns:a16="http://schemas.microsoft.com/office/drawing/2014/main" id="{00000000-0008-0000-2E00-000015000000}"/>
            </a:ext>
          </a:extLst>
        </xdr:cNvPr>
        <xdr:cNvSpPr/>
      </xdr:nvSpPr>
      <xdr:spPr>
        <a:xfrm>
          <a:off x="8229600" y="438150"/>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38100</xdr:colOff>
      <xdr:row>135</xdr:row>
      <xdr:rowOff>123825</xdr:rowOff>
    </xdr:from>
    <xdr:to>
      <xdr:col>1</xdr:col>
      <xdr:colOff>398100</xdr:colOff>
      <xdr:row>137</xdr:row>
      <xdr:rowOff>83775</xdr:rowOff>
    </xdr:to>
    <xdr:pic>
      <xdr:nvPicPr>
        <xdr:cNvPr id="22" name="Picture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31222950"/>
          <a:ext cx="360000" cy="360000"/>
        </a:xfrm>
        <a:prstGeom prst="rect">
          <a:avLst/>
        </a:prstGeom>
      </xdr:spPr>
    </xdr:pic>
    <xdr:clientData/>
  </xdr:twoCellAnchor>
  <xdr:oneCellAnchor>
    <xdr:from>
      <xdr:col>1</xdr:col>
      <xdr:colOff>38100</xdr:colOff>
      <xdr:row>147</xdr:row>
      <xdr:rowOff>171450</xdr:rowOff>
    </xdr:from>
    <xdr:ext cx="360000" cy="360000"/>
    <xdr:pic>
      <xdr:nvPicPr>
        <xdr:cNvPr id="23" name="Picture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33756600"/>
          <a:ext cx="360000" cy="360000"/>
        </a:xfrm>
        <a:prstGeom prst="rect">
          <a:avLst/>
        </a:prstGeom>
      </xdr:spPr>
    </xdr:pic>
    <xdr:clientData/>
  </xdr:oneCellAnchor>
  <xdr:oneCellAnchor>
    <xdr:from>
      <xdr:col>1</xdr:col>
      <xdr:colOff>19050</xdr:colOff>
      <xdr:row>24</xdr:row>
      <xdr:rowOff>123825</xdr:rowOff>
    </xdr:from>
    <xdr:ext cx="360000" cy="360000"/>
    <xdr:pic>
      <xdr:nvPicPr>
        <xdr:cNvPr id="24" name="Picture 23">
          <a:extLst>
            <a:ext uri="{FF2B5EF4-FFF2-40B4-BE49-F238E27FC236}">
              <a16:creationId xmlns:a16="http://schemas.microsoft.com/office/drawing/2014/main" id="{00000000-0008-0000-2E00-00001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0050" y="6000750"/>
          <a:ext cx="360000" cy="360000"/>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361949</xdr:colOff>
      <xdr:row>1</xdr:row>
      <xdr:rowOff>123826</xdr:rowOff>
    </xdr:from>
    <xdr:to>
      <xdr:col>2</xdr:col>
      <xdr:colOff>912224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2F00-000002000000}"/>
            </a:ext>
          </a:extLst>
        </xdr:cNvPr>
        <xdr:cNvSpPr>
          <a:spLocks noChangeArrowheads="1"/>
        </xdr:cNvSpPr>
      </xdr:nvSpPr>
      <xdr:spPr bwMode="auto">
        <a:xfrm>
          <a:off x="361949" y="447676"/>
          <a:ext cx="216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1343025</xdr:colOff>
      <xdr:row>1</xdr:row>
      <xdr:rowOff>123825</xdr:rowOff>
    </xdr:from>
    <xdr:to>
      <xdr:col>4</xdr:col>
      <xdr:colOff>912225</xdr:colOff>
      <xdr:row>3</xdr:row>
      <xdr:rowOff>66825</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2F00-000004000000}"/>
            </a:ext>
          </a:extLst>
        </xdr:cNvPr>
        <xdr:cNvSpPr>
          <a:spLocks noChangeArrowheads="1"/>
        </xdr:cNvSpPr>
      </xdr:nvSpPr>
      <xdr:spPr bwMode="auto">
        <a:xfrm>
          <a:off x="29527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0</xdr:col>
      <xdr:colOff>314325</xdr:colOff>
      <xdr:row>22</xdr:row>
      <xdr:rowOff>9525</xdr:rowOff>
    </xdr:from>
    <xdr:ext cx="360000" cy="360000"/>
    <xdr:pic>
      <xdr:nvPicPr>
        <xdr:cNvPr id="26" name="Picture 25">
          <a:extLst>
            <a:ext uri="{FF2B5EF4-FFF2-40B4-BE49-F238E27FC236}">
              <a16:creationId xmlns:a16="http://schemas.microsoft.com/office/drawing/2014/main" id="{00000000-0008-0000-2F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5257800"/>
          <a:ext cx="360000" cy="360000"/>
        </a:xfrm>
        <a:prstGeom prst="rect">
          <a:avLst/>
        </a:prstGeom>
      </xdr:spPr>
    </xdr:pic>
    <xdr:clientData/>
  </xdr:oneCellAnchor>
  <xdr:twoCellAnchor editAs="oneCell">
    <xdr:from>
      <xdr:col>0</xdr:col>
      <xdr:colOff>333375</xdr:colOff>
      <xdr:row>24</xdr:row>
      <xdr:rowOff>104775</xdr:rowOff>
    </xdr:from>
    <xdr:to>
      <xdr:col>1</xdr:col>
      <xdr:colOff>360000</xdr:colOff>
      <xdr:row>26</xdr:row>
      <xdr:rowOff>102825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 y="6305550"/>
          <a:ext cx="360000" cy="360000"/>
        </a:xfrm>
        <a:prstGeom prst="rect">
          <a:avLst/>
        </a:prstGeom>
      </xdr:spPr>
    </xdr:pic>
    <xdr:clientData/>
  </xdr:twoCellAnchor>
  <xdr:oneCellAnchor>
    <xdr:from>
      <xdr:col>0</xdr:col>
      <xdr:colOff>352425</xdr:colOff>
      <xdr:row>26</xdr:row>
      <xdr:rowOff>133350</xdr:rowOff>
    </xdr:from>
    <xdr:ext cx="360000" cy="360000"/>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2425" y="6696075"/>
          <a:ext cx="360000" cy="360000"/>
        </a:xfrm>
        <a:prstGeom prst="rect">
          <a:avLst/>
        </a:prstGeom>
      </xdr:spPr>
    </xdr:pic>
    <xdr:clientData/>
  </xdr:oneCellAnchor>
  <xdr:twoCellAnchor>
    <xdr:from>
      <xdr:col>7</xdr:col>
      <xdr:colOff>333375</xdr:colOff>
      <xdr:row>1</xdr:row>
      <xdr:rowOff>104775</xdr:rowOff>
    </xdr:from>
    <xdr:to>
      <xdr:col>7</xdr:col>
      <xdr:colOff>781050</xdr:colOff>
      <xdr:row>3</xdr:row>
      <xdr:rowOff>76200</xdr:rowOff>
    </xdr:to>
    <xdr:sp macro="" textlink="">
      <xdr:nvSpPr>
        <xdr:cNvPr id="13" name="Up Arrow 12">
          <a:hlinkClick xmlns:r="http://schemas.openxmlformats.org/officeDocument/2006/relationships" r:id="rId6" tooltip="Back to top"/>
          <a:extLst>
            <a:ext uri="{FF2B5EF4-FFF2-40B4-BE49-F238E27FC236}">
              <a16:creationId xmlns:a16="http://schemas.microsoft.com/office/drawing/2014/main" id="{00000000-0008-0000-2F00-00000D000000}"/>
            </a:ext>
          </a:extLst>
        </xdr:cNvPr>
        <xdr:cNvSpPr/>
      </xdr:nvSpPr>
      <xdr:spPr>
        <a:xfrm>
          <a:off x="8372475" y="428625"/>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66675</xdr:colOff>
      <xdr:row>16</xdr:row>
      <xdr:rowOff>76200</xdr:rowOff>
    </xdr:from>
    <xdr:to>
      <xdr:col>1</xdr:col>
      <xdr:colOff>604580</xdr:colOff>
      <xdr:row>18</xdr:row>
      <xdr:rowOff>63750</xdr:rowOff>
    </xdr:to>
    <xdr:pic>
      <xdr:nvPicPr>
        <xdr:cNvPr id="5" name="Picture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675" y="4267200"/>
          <a:ext cx="537905" cy="540000"/>
        </a:xfrm>
        <a:prstGeom prst="rect">
          <a:avLst/>
        </a:prstGeom>
      </xdr:spPr>
    </xdr:pic>
    <xdr:clientData/>
  </xdr:twoCellAnchor>
  <xdr:twoCellAnchor>
    <xdr:from>
      <xdr:col>6</xdr:col>
      <xdr:colOff>114300</xdr:colOff>
      <xdr:row>1</xdr:row>
      <xdr:rowOff>161925</xdr:rowOff>
    </xdr:from>
    <xdr:to>
      <xdr:col>6</xdr:col>
      <xdr:colOff>1194300</xdr:colOff>
      <xdr:row>3</xdr:row>
      <xdr:rowOff>68925</xdr:rowOff>
    </xdr:to>
    <xdr:sp macro="" textlink="">
      <xdr:nvSpPr>
        <xdr:cNvPr id="12" name="Rectangle à coins arrondis 2">
          <a:hlinkClick xmlns:r="http://schemas.openxmlformats.org/officeDocument/2006/relationships" r:id="rId8" tooltip="Glossary"/>
          <a:extLst>
            <a:ext uri="{FF2B5EF4-FFF2-40B4-BE49-F238E27FC236}">
              <a16:creationId xmlns:a16="http://schemas.microsoft.com/office/drawing/2014/main" id="{00000000-0008-0000-2F00-00000C000000}"/>
            </a:ext>
          </a:extLst>
        </xdr:cNvPr>
        <xdr:cNvSpPr>
          <a:spLocks noChangeArrowheads="1"/>
        </xdr:cNvSpPr>
      </xdr:nvSpPr>
      <xdr:spPr bwMode="auto">
        <a:xfrm>
          <a:off x="6772275" y="48577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361949</xdr:colOff>
      <xdr:row>1</xdr:row>
      <xdr:rowOff>123826</xdr:rowOff>
    </xdr:from>
    <xdr:to>
      <xdr:col>2</xdr:col>
      <xdr:colOff>912224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000-000002000000}"/>
            </a:ext>
          </a:extLst>
        </xdr:cNvPr>
        <xdr:cNvSpPr>
          <a:spLocks noChangeArrowheads="1"/>
        </xdr:cNvSpPr>
      </xdr:nvSpPr>
      <xdr:spPr bwMode="auto">
        <a:xfrm>
          <a:off x="361949" y="447676"/>
          <a:ext cx="216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3</xdr:col>
      <xdr:colOff>171450</xdr:colOff>
      <xdr:row>1</xdr:row>
      <xdr:rowOff>123825</xdr:rowOff>
    </xdr:from>
    <xdr:to>
      <xdr:col>4</xdr:col>
      <xdr:colOff>1102725</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000-000003000000}"/>
            </a:ext>
          </a:extLst>
        </xdr:cNvPr>
        <xdr:cNvSpPr>
          <a:spLocks noChangeArrowheads="1"/>
        </xdr:cNvSpPr>
      </xdr:nvSpPr>
      <xdr:spPr bwMode="auto">
        <a:xfrm>
          <a:off x="29146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21</xdr:row>
      <xdr:rowOff>57150</xdr:rowOff>
    </xdr:from>
    <xdr:to>
      <xdr:col>1</xdr:col>
      <xdr:colOff>396000</xdr:colOff>
      <xdr:row>23</xdr:row>
      <xdr:rowOff>110250</xdr:rowOff>
    </xdr:to>
    <xdr:pic>
      <xdr:nvPicPr>
        <xdr:cNvPr id="16" name="Picture 15">
          <a:extLst>
            <a:ext uri="{FF2B5EF4-FFF2-40B4-BE49-F238E27FC236}">
              <a16:creationId xmlns:a16="http://schemas.microsoft.com/office/drawing/2014/main" id="{00000000-0008-0000-3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76600"/>
          <a:ext cx="396000" cy="396000"/>
        </a:xfrm>
        <a:prstGeom prst="rect">
          <a:avLst/>
        </a:prstGeom>
      </xdr:spPr>
    </xdr:pic>
    <xdr:clientData/>
  </xdr:twoCellAnchor>
  <xdr:oneCellAnchor>
    <xdr:from>
      <xdr:col>1</xdr:col>
      <xdr:colOff>0</xdr:colOff>
      <xdr:row>53</xdr:row>
      <xdr:rowOff>85725</xdr:rowOff>
    </xdr:from>
    <xdr:ext cx="396000" cy="396000"/>
    <xdr:pic>
      <xdr:nvPicPr>
        <xdr:cNvPr id="17" name="Picture 16">
          <a:extLst>
            <a:ext uri="{FF2B5EF4-FFF2-40B4-BE49-F238E27FC236}">
              <a16:creationId xmlns:a16="http://schemas.microsoft.com/office/drawing/2014/main" id="{00000000-0008-0000-3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0591800"/>
          <a:ext cx="396000" cy="396000"/>
        </a:xfrm>
        <a:prstGeom prst="rect">
          <a:avLst/>
        </a:prstGeom>
      </xdr:spPr>
    </xdr:pic>
    <xdr:clientData/>
  </xdr:oneCellAnchor>
  <xdr:twoCellAnchor>
    <xdr:from>
      <xdr:col>5</xdr:col>
      <xdr:colOff>314325</xdr:colOff>
      <xdr:row>1</xdr:row>
      <xdr:rowOff>142875</xdr:rowOff>
    </xdr:from>
    <xdr:to>
      <xdr:col>6</xdr:col>
      <xdr:colOff>165600</xdr:colOff>
      <xdr:row>3</xdr:row>
      <xdr:rowOff>49875</xdr:rowOff>
    </xdr:to>
    <xdr:sp macro="" textlink="">
      <xdr:nvSpPr>
        <xdr:cNvPr id="18" name="Rectangle à coins arrondis 2">
          <a:hlinkClick xmlns:r="http://schemas.openxmlformats.org/officeDocument/2006/relationships" r:id="rId4" tooltip="Strategy A"/>
          <a:extLst>
            <a:ext uri="{FF2B5EF4-FFF2-40B4-BE49-F238E27FC236}">
              <a16:creationId xmlns:a16="http://schemas.microsoft.com/office/drawing/2014/main" id="{00000000-0008-0000-3000-000012000000}"/>
            </a:ext>
          </a:extLst>
        </xdr:cNvPr>
        <xdr:cNvSpPr>
          <a:spLocks noChangeArrowheads="1"/>
        </xdr:cNvSpPr>
      </xdr:nvSpPr>
      <xdr:spPr bwMode="auto">
        <a:xfrm>
          <a:off x="5514975"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342899</xdr:colOff>
      <xdr:row>1</xdr:row>
      <xdr:rowOff>142875</xdr:rowOff>
    </xdr:from>
    <xdr:to>
      <xdr:col>7</xdr:col>
      <xdr:colOff>203699</xdr:colOff>
      <xdr:row>3</xdr:row>
      <xdr:rowOff>49875</xdr:rowOff>
    </xdr:to>
    <xdr:sp macro="" textlink="">
      <xdr:nvSpPr>
        <xdr:cNvPr id="19" name="Rectangle à coins arrondis 2">
          <a:hlinkClick xmlns:r="http://schemas.openxmlformats.org/officeDocument/2006/relationships" r:id="rId5" tooltip="Strategy B"/>
          <a:extLst>
            <a:ext uri="{FF2B5EF4-FFF2-40B4-BE49-F238E27FC236}">
              <a16:creationId xmlns:a16="http://schemas.microsoft.com/office/drawing/2014/main" id="{00000000-0008-0000-3000-000013000000}"/>
            </a:ext>
          </a:extLst>
        </xdr:cNvPr>
        <xdr:cNvSpPr>
          <a:spLocks noChangeArrowheads="1"/>
        </xdr:cNvSpPr>
      </xdr:nvSpPr>
      <xdr:spPr bwMode="auto">
        <a:xfrm>
          <a:off x="6772274"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oneCellAnchor>
    <xdr:from>
      <xdr:col>1</xdr:col>
      <xdr:colOff>28575</xdr:colOff>
      <xdr:row>25</xdr:row>
      <xdr:rowOff>104775</xdr:rowOff>
    </xdr:from>
    <xdr:ext cx="360000" cy="360000"/>
    <xdr:pic>
      <xdr:nvPicPr>
        <xdr:cNvPr id="20" name="Picture 19">
          <a:extLst>
            <a:ext uri="{FF2B5EF4-FFF2-40B4-BE49-F238E27FC236}">
              <a16:creationId xmlns:a16="http://schemas.microsoft.com/office/drawing/2014/main" id="{00000000-0008-0000-30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5191125"/>
          <a:ext cx="360000" cy="360000"/>
        </a:xfrm>
        <a:prstGeom prst="rect">
          <a:avLst/>
        </a:prstGeom>
      </xdr:spPr>
    </xdr:pic>
    <xdr:clientData/>
  </xdr:oneCellAnchor>
  <xdr:oneCellAnchor>
    <xdr:from>
      <xdr:col>1</xdr:col>
      <xdr:colOff>28575</xdr:colOff>
      <xdr:row>55</xdr:row>
      <xdr:rowOff>152400</xdr:rowOff>
    </xdr:from>
    <xdr:ext cx="360000" cy="360000"/>
    <xdr:pic>
      <xdr:nvPicPr>
        <xdr:cNvPr id="21" name="Picture 20">
          <a:extLst>
            <a:ext uri="{FF2B5EF4-FFF2-40B4-BE49-F238E27FC236}">
              <a16:creationId xmlns:a16="http://schemas.microsoft.com/office/drawing/2014/main" id="{00000000-0008-0000-30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9575" y="12353925"/>
          <a:ext cx="360000" cy="360000"/>
        </a:xfrm>
        <a:prstGeom prst="rect">
          <a:avLst/>
        </a:prstGeom>
      </xdr:spPr>
    </xdr:pic>
    <xdr:clientData/>
  </xdr:oneCellAnchor>
  <xdr:twoCellAnchor>
    <xdr:from>
      <xdr:col>7</xdr:col>
      <xdr:colOff>466725</xdr:colOff>
      <xdr:row>1</xdr:row>
      <xdr:rowOff>104775</xdr:rowOff>
    </xdr:from>
    <xdr:to>
      <xdr:col>7</xdr:col>
      <xdr:colOff>914400</xdr:colOff>
      <xdr:row>3</xdr:row>
      <xdr:rowOff>76200</xdr:rowOff>
    </xdr:to>
    <xdr:sp macro="" textlink="">
      <xdr:nvSpPr>
        <xdr:cNvPr id="11" name="Up Arrow 10">
          <a:hlinkClick xmlns:r="http://schemas.openxmlformats.org/officeDocument/2006/relationships" r:id="rId7" tooltip="Back to top"/>
          <a:extLst>
            <a:ext uri="{FF2B5EF4-FFF2-40B4-BE49-F238E27FC236}">
              <a16:creationId xmlns:a16="http://schemas.microsoft.com/office/drawing/2014/main" id="{00000000-0008-0000-3000-00000B000000}"/>
            </a:ext>
          </a:extLst>
        </xdr:cNvPr>
        <xdr:cNvSpPr/>
      </xdr:nvSpPr>
      <xdr:spPr>
        <a:xfrm>
          <a:off x="8115300" y="428625"/>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15</xdr:row>
      <xdr:rowOff>9525</xdr:rowOff>
    </xdr:from>
    <xdr:to>
      <xdr:col>1</xdr:col>
      <xdr:colOff>379050</xdr:colOff>
      <xdr:row>16</xdr:row>
      <xdr:rowOff>179025</xdr:rowOff>
    </xdr:to>
    <xdr:pic>
      <xdr:nvPicPr>
        <xdr:cNvPr id="12" name="Picture 11">
          <a:extLst>
            <a:ext uri="{FF2B5EF4-FFF2-40B4-BE49-F238E27FC236}">
              <a16:creationId xmlns:a16="http://schemas.microsoft.com/office/drawing/2014/main" id="{9351A255-3CEE-4F95-9CE8-0E2F11A254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0050" y="11830050"/>
          <a:ext cx="360000" cy="3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342899</xdr:colOff>
      <xdr:row>1</xdr:row>
      <xdr:rowOff>123826</xdr:rowOff>
    </xdr:from>
    <xdr:to>
      <xdr:col>2</xdr:col>
      <xdr:colOff>713174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100-000002000000}"/>
            </a:ext>
          </a:extLst>
        </xdr:cNvPr>
        <xdr:cNvSpPr>
          <a:spLocks noChangeArrowheads="1"/>
        </xdr:cNvSpPr>
      </xdr:nvSpPr>
      <xdr:spPr bwMode="auto">
        <a:xfrm>
          <a:off x="342899" y="447676"/>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2</xdr:col>
      <xdr:colOff>933449</xdr:colOff>
      <xdr:row>1</xdr:row>
      <xdr:rowOff>123825</xdr:rowOff>
    </xdr:from>
    <xdr:to>
      <xdr:col>4</xdr:col>
      <xdr:colOff>551249</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100-000003000000}"/>
            </a:ext>
          </a:extLst>
        </xdr:cNvPr>
        <xdr:cNvSpPr>
          <a:spLocks noChangeArrowheads="1"/>
        </xdr:cNvSpPr>
      </xdr:nvSpPr>
      <xdr:spPr bwMode="auto">
        <a:xfrm>
          <a:off x="2543174" y="4476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76200</xdr:colOff>
      <xdr:row>60</xdr:row>
      <xdr:rowOff>85725</xdr:rowOff>
    </xdr:from>
    <xdr:to>
      <xdr:col>1</xdr:col>
      <xdr:colOff>544200</xdr:colOff>
      <xdr:row>62</xdr:row>
      <xdr:rowOff>134625</xdr:rowOff>
    </xdr:to>
    <xdr:pic>
      <xdr:nvPicPr>
        <xdr:cNvPr id="39" name="Picture 38">
          <a:extLst>
            <a:ext uri="{FF2B5EF4-FFF2-40B4-BE49-F238E27FC236}">
              <a16:creationId xmlns:a16="http://schemas.microsoft.com/office/drawing/2014/main" id="{00000000-0008-0000-31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200" y="13258800"/>
          <a:ext cx="468000" cy="468000"/>
        </a:xfrm>
        <a:prstGeom prst="rect">
          <a:avLst/>
        </a:prstGeom>
      </xdr:spPr>
    </xdr:pic>
    <xdr:clientData/>
  </xdr:twoCellAnchor>
  <xdr:twoCellAnchor editAs="oneCell">
    <xdr:from>
      <xdr:col>1</xdr:col>
      <xdr:colOff>9525</xdr:colOff>
      <xdr:row>63</xdr:row>
      <xdr:rowOff>142875</xdr:rowOff>
    </xdr:from>
    <xdr:to>
      <xdr:col>1</xdr:col>
      <xdr:colOff>405525</xdr:colOff>
      <xdr:row>65</xdr:row>
      <xdr:rowOff>81675</xdr:rowOff>
    </xdr:to>
    <xdr:pic>
      <xdr:nvPicPr>
        <xdr:cNvPr id="40" name="Picture 39">
          <a:extLst>
            <a:ext uri="{FF2B5EF4-FFF2-40B4-BE49-F238E27FC236}">
              <a16:creationId xmlns:a16="http://schemas.microsoft.com/office/drawing/2014/main" id="{00000000-0008-0000-3100-00002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13496925"/>
          <a:ext cx="396000" cy="396000"/>
        </a:xfrm>
        <a:prstGeom prst="rect">
          <a:avLst/>
        </a:prstGeom>
      </xdr:spPr>
    </xdr:pic>
    <xdr:clientData/>
  </xdr:twoCellAnchor>
  <xdr:twoCellAnchor>
    <xdr:from>
      <xdr:col>4</xdr:col>
      <xdr:colOff>1000125</xdr:colOff>
      <xdr:row>1</xdr:row>
      <xdr:rowOff>152400</xdr:rowOff>
    </xdr:from>
    <xdr:to>
      <xdr:col>5</xdr:col>
      <xdr:colOff>779400</xdr:colOff>
      <xdr:row>3</xdr:row>
      <xdr:rowOff>59400</xdr:rowOff>
    </xdr:to>
    <xdr:sp macro="" textlink="">
      <xdr:nvSpPr>
        <xdr:cNvPr id="41" name="Rectangle à coins arrondis 2">
          <a:hlinkClick xmlns:r="http://schemas.openxmlformats.org/officeDocument/2006/relationships" r:id="rId5" tooltip="Strategy A"/>
          <a:extLst>
            <a:ext uri="{FF2B5EF4-FFF2-40B4-BE49-F238E27FC236}">
              <a16:creationId xmlns:a16="http://schemas.microsoft.com/office/drawing/2014/main" id="{00000000-0008-0000-3100-000029000000}"/>
            </a:ext>
          </a:extLst>
        </xdr:cNvPr>
        <xdr:cNvSpPr>
          <a:spLocks noChangeArrowheads="1"/>
        </xdr:cNvSpPr>
      </xdr:nvSpPr>
      <xdr:spPr bwMode="auto">
        <a:xfrm>
          <a:off x="497205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857250</xdr:colOff>
      <xdr:row>1</xdr:row>
      <xdr:rowOff>152400</xdr:rowOff>
    </xdr:from>
    <xdr:to>
      <xdr:col>6</xdr:col>
      <xdr:colOff>636525</xdr:colOff>
      <xdr:row>3</xdr:row>
      <xdr:rowOff>59400</xdr:rowOff>
    </xdr:to>
    <xdr:sp macro="" textlink="">
      <xdr:nvSpPr>
        <xdr:cNvPr id="42" name="Rectangle à coins arrondis 2">
          <a:hlinkClick xmlns:r="http://schemas.openxmlformats.org/officeDocument/2006/relationships" r:id="rId6" tooltip="Strategy B"/>
          <a:extLst>
            <a:ext uri="{FF2B5EF4-FFF2-40B4-BE49-F238E27FC236}">
              <a16:creationId xmlns:a16="http://schemas.microsoft.com/office/drawing/2014/main" id="{00000000-0008-0000-3100-00002A000000}"/>
            </a:ext>
          </a:extLst>
        </xdr:cNvPr>
        <xdr:cNvSpPr>
          <a:spLocks noChangeArrowheads="1"/>
        </xdr:cNvSpPr>
      </xdr:nvSpPr>
      <xdr:spPr bwMode="auto">
        <a:xfrm>
          <a:off x="605790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714375</xdr:colOff>
      <xdr:row>1</xdr:row>
      <xdr:rowOff>152400</xdr:rowOff>
    </xdr:from>
    <xdr:to>
      <xdr:col>7</xdr:col>
      <xdr:colOff>503175</xdr:colOff>
      <xdr:row>3</xdr:row>
      <xdr:rowOff>59400</xdr:rowOff>
    </xdr:to>
    <xdr:sp macro="" textlink="">
      <xdr:nvSpPr>
        <xdr:cNvPr id="43" name="Rectangle à coins arrondis 2">
          <a:hlinkClick xmlns:r="http://schemas.openxmlformats.org/officeDocument/2006/relationships" r:id="rId7" tooltip="Strategy C"/>
          <a:extLst>
            <a:ext uri="{FF2B5EF4-FFF2-40B4-BE49-F238E27FC236}">
              <a16:creationId xmlns:a16="http://schemas.microsoft.com/office/drawing/2014/main" id="{00000000-0008-0000-3100-00002B000000}"/>
            </a:ext>
          </a:extLst>
        </xdr:cNvPr>
        <xdr:cNvSpPr>
          <a:spLocks noChangeArrowheads="1"/>
        </xdr:cNvSpPr>
      </xdr:nvSpPr>
      <xdr:spPr bwMode="auto">
        <a:xfrm>
          <a:off x="7143750" y="476250"/>
          <a:ext cx="1008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66675</xdr:colOff>
      <xdr:row>22</xdr:row>
      <xdr:rowOff>133350</xdr:rowOff>
    </xdr:from>
    <xdr:ext cx="468000" cy="468000"/>
    <xdr:pic>
      <xdr:nvPicPr>
        <xdr:cNvPr id="44" name="Picture 43">
          <a:extLst>
            <a:ext uri="{FF2B5EF4-FFF2-40B4-BE49-F238E27FC236}">
              <a16:creationId xmlns:a16="http://schemas.microsoft.com/office/drawing/2014/main" id="{00000000-0008-0000-31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5219700"/>
          <a:ext cx="468000" cy="468000"/>
        </a:xfrm>
        <a:prstGeom prst="rect">
          <a:avLst/>
        </a:prstGeom>
      </xdr:spPr>
    </xdr:pic>
    <xdr:clientData/>
  </xdr:oneCellAnchor>
  <xdr:oneCellAnchor>
    <xdr:from>
      <xdr:col>1</xdr:col>
      <xdr:colOff>0</xdr:colOff>
      <xdr:row>19</xdr:row>
      <xdr:rowOff>76200</xdr:rowOff>
    </xdr:from>
    <xdr:ext cx="396000" cy="396000"/>
    <xdr:pic>
      <xdr:nvPicPr>
        <xdr:cNvPr id="53" name="Picture 52">
          <a:extLst>
            <a:ext uri="{FF2B5EF4-FFF2-40B4-BE49-F238E27FC236}">
              <a16:creationId xmlns:a16="http://schemas.microsoft.com/office/drawing/2014/main" id="{00000000-0008-0000-3100-00003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4629150"/>
          <a:ext cx="396000" cy="396000"/>
        </a:xfrm>
        <a:prstGeom prst="rect">
          <a:avLst/>
        </a:prstGeom>
      </xdr:spPr>
    </xdr:pic>
    <xdr:clientData/>
  </xdr:oneCellAnchor>
  <xdr:oneCellAnchor>
    <xdr:from>
      <xdr:col>1</xdr:col>
      <xdr:colOff>0</xdr:colOff>
      <xdr:row>57</xdr:row>
      <xdr:rowOff>57150</xdr:rowOff>
    </xdr:from>
    <xdr:ext cx="396000" cy="396000"/>
    <xdr:pic>
      <xdr:nvPicPr>
        <xdr:cNvPr id="54" name="Picture 53">
          <a:extLst>
            <a:ext uri="{FF2B5EF4-FFF2-40B4-BE49-F238E27FC236}">
              <a16:creationId xmlns:a16="http://schemas.microsoft.com/office/drawing/2014/main" id="{00000000-0008-0000-3100-00003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1887200"/>
          <a:ext cx="396000" cy="396000"/>
        </a:xfrm>
        <a:prstGeom prst="rect">
          <a:avLst/>
        </a:prstGeom>
      </xdr:spPr>
    </xdr:pic>
    <xdr:clientData/>
  </xdr:oneCellAnchor>
  <xdr:oneCellAnchor>
    <xdr:from>
      <xdr:col>1</xdr:col>
      <xdr:colOff>9525</xdr:colOff>
      <xdr:row>26</xdr:row>
      <xdr:rowOff>85725</xdr:rowOff>
    </xdr:from>
    <xdr:ext cx="396000" cy="396000"/>
    <xdr:pic>
      <xdr:nvPicPr>
        <xdr:cNvPr id="55" name="Picture 54">
          <a:extLst>
            <a:ext uri="{FF2B5EF4-FFF2-40B4-BE49-F238E27FC236}">
              <a16:creationId xmlns:a16="http://schemas.microsoft.com/office/drawing/2014/main" id="{00000000-0008-0000-31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5934075"/>
          <a:ext cx="396000" cy="396000"/>
        </a:xfrm>
        <a:prstGeom prst="rect">
          <a:avLst/>
        </a:prstGeom>
      </xdr:spPr>
    </xdr:pic>
    <xdr:clientData/>
  </xdr:oneCellAnchor>
  <xdr:oneCellAnchor>
    <xdr:from>
      <xdr:col>1</xdr:col>
      <xdr:colOff>0</xdr:colOff>
      <xdr:row>93</xdr:row>
      <xdr:rowOff>57150</xdr:rowOff>
    </xdr:from>
    <xdr:ext cx="396000" cy="396000"/>
    <xdr:pic>
      <xdr:nvPicPr>
        <xdr:cNvPr id="56" name="Picture 55">
          <a:extLst>
            <a:ext uri="{FF2B5EF4-FFF2-40B4-BE49-F238E27FC236}">
              <a16:creationId xmlns:a16="http://schemas.microsoft.com/office/drawing/2014/main" id="{00000000-0008-0000-3100-00003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2239625"/>
          <a:ext cx="396000" cy="396000"/>
        </a:xfrm>
        <a:prstGeom prst="rect">
          <a:avLst/>
        </a:prstGeom>
      </xdr:spPr>
    </xdr:pic>
    <xdr:clientData/>
  </xdr:oneCellAnchor>
  <xdr:oneCellAnchor>
    <xdr:from>
      <xdr:col>1</xdr:col>
      <xdr:colOff>19050</xdr:colOff>
      <xdr:row>99</xdr:row>
      <xdr:rowOff>123825</xdr:rowOff>
    </xdr:from>
    <xdr:ext cx="396000" cy="396000"/>
    <xdr:pic>
      <xdr:nvPicPr>
        <xdr:cNvPr id="57" name="Picture 56">
          <a:extLst>
            <a:ext uri="{FF2B5EF4-FFF2-40B4-BE49-F238E27FC236}">
              <a16:creationId xmlns:a16="http://schemas.microsoft.com/office/drawing/2014/main" id="{00000000-0008-0000-31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21964650"/>
          <a:ext cx="396000" cy="396000"/>
        </a:xfrm>
        <a:prstGeom prst="rect">
          <a:avLst/>
        </a:prstGeom>
      </xdr:spPr>
    </xdr:pic>
    <xdr:clientData/>
  </xdr:oneCellAnchor>
  <xdr:oneCellAnchor>
    <xdr:from>
      <xdr:col>1</xdr:col>
      <xdr:colOff>47625</xdr:colOff>
      <xdr:row>96</xdr:row>
      <xdr:rowOff>66675</xdr:rowOff>
    </xdr:from>
    <xdr:ext cx="468000" cy="468000"/>
    <xdr:pic>
      <xdr:nvPicPr>
        <xdr:cNvPr id="49" name="Picture 48">
          <a:extLst>
            <a:ext uri="{FF2B5EF4-FFF2-40B4-BE49-F238E27FC236}">
              <a16:creationId xmlns:a16="http://schemas.microsoft.com/office/drawing/2014/main" id="{00000000-0008-0000-31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5" y="13296900"/>
          <a:ext cx="468000" cy="468000"/>
        </a:xfrm>
        <a:prstGeom prst="rect">
          <a:avLst/>
        </a:prstGeom>
      </xdr:spPr>
    </xdr:pic>
    <xdr:clientData/>
  </xdr:oneCellAnchor>
  <xdr:twoCellAnchor>
    <xdr:from>
      <xdr:col>7</xdr:col>
      <xdr:colOff>733425</xdr:colOff>
      <xdr:row>1</xdr:row>
      <xdr:rowOff>114300</xdr:rowOff>
    </xdr:from>
    <xdr:to>
      <xdr:col>7</xdr:col>
      <xdr:colOff>1181100</xdr:colOff>
      <xdr:row>3</xdr:row>
      <xdr:rowOff>85725</xdr:rowOff>
    </xdr:to>
    <xdr:sp macro="" textlink="">
      <xdr:nvSpPr>
        <xdr:cNvPr id="16" name="Up Arrow 15">
          <a:hlinkClick xmlns:r="http://schemas.openxmlformats.org/officeDocument/2006/relationships" r:id="rId8" tooltip="Back to top"/>
          <a:extLst>
            <a:ext uri="{FF2B5EF4-FFF2-40B4-BE49-F238E27FC236}">
              <a16:creationId xmlns:a16="http://schemas.microsoft.com/office/drawing/2014/main" id="{00000000-0008-0000-3100-000010000000}"/>
            </a:ext>
          </a:extLst>
        </xdr:cNvPr>
        <xdr:cNvSpPr/>
      </xdr:nvSpPr>
      <xdr:spPr>
        <a:xfrm>
          <a:off x="8382000" y="438150"/>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xdr:colOff>
      <xdr:row>14</xdr:row>
      <xdr:rowOff>23812</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8105775" y="31480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12</xdr:col>
      <xdr:colOff>609975</xdr:colOff>
      <xdr:row>1</xdr:row>
      <xdr:rowOff>47626</xdr:rowOff>
    </xdr:from>
    <xdr:to>
      <xdr:col>14</xdr:col>
      <xdr:colOff>276225</xdr:colOff>
      <xdr:row>2</xdr:row>
      <xdr:rowOff>115501</xdr:rowOff>
    </xdr:to>
    <xdr:sp macro="" textlink="">
      <xdr:nvSpPr>
        <xdr:cNvPr id="17" name="Rectangle à coins arrondis 2">
          <a:hlinkClick xmlns:r="http://schemas.openxmlformats.org/officeDocument/2006/relationships" r:id="rId1" tooltip="Scorecard"/>
          <a:extLst>
            <a:ext uri="{FF2B5EF4-FFF2-40B4-BE49-F238E27FC236}">
              <a16:creationId xmlns:a16="http://schemas.microsoft.com/office/drawing/2014/main" id="{00000000-0008-0000-0500-000011000000}"/>
            </a:ext>
          </a:extLst>
        </xdr:cNvPr>
        <xdr:cNvSpPr>
          <a:spLocks noChangeArrowheads="1"/>
        </xdr:cNvSpPr>
      </xdr:nvSpPr>
      <xdr:spPr bwMode="auto">
        <a:xfrm>
          <a:off x="9715875" y="428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10</xdr:col>
      <xdr:colOff>790575</xdr:colOff>
      <xdr:row>1</xdr:row>
      <xdr:rowOff>47625</xdr:rowOff>
    </xdr:from>
    <xdr:to>
      <xdr:col>12</xdr:col>
      <xdr:colOff>523500</xdr:colOff>
      <xdr:row>2</xdr:row>
      <xdr:rowOff>115500</xdr:rowOff>
    </xdr:to>
    <xdr:sp macro="" textlink="">
      <xdr:nvSpPr>
        <xdr:cNvPr id="18" name="Rectangle à coins arrondis 2">
          <a:hlinkClick xmlns:r="http://schemas.openxmlformats.org/officeDocument/2006/relationships" r:id="rId2" tooltip="Instructions"/>
          <a:extLst>
            <a:ext uri="{FF2B5EF4-FFF2-40B4-BE49-F238E27FC236}">
              <a16:creationId xmlns:a16="http://schemas.microsoft.com/office/drawing/2014/main" id="{00000000-0008-0000-0500-000012000000}"/>
            </a:ext>
          </a:extLst>
        </xdr:cNvPr>
        <xdr:cNvSpPr>
          <a:spLocks noChangeArrowheads="1"/>
        </xdr:cNvSpPr>
      </xdr:nvSpPr>
      <xdr:spPr bwMode="auto">
        <a:xfrm>
          <a:off x="8153400" y="42862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84806"/>
            </a:solidFill>
            <a:latin typeface="Arial" panose="020B0604020202020204" pitchFamily="34" charset="0"/>
            <a:cs typeface="Arial" panose="020B0604020202020204" pitchFamily="34" charset="0"/>
          </a:endParaRPr>
        </a:p>
      </xdr:txBody>
    </xdr:sp>
    <xdr:clientData/>
  </xdr:twoCellAnchor>
  <xdr:twoCellAnchor>
    <xdr:from>
      <xdr:col>9</xdr:col>
      <xdr:colOff>123825</xdr:colOff>
      <xdr:row>2</xdr:row>
      <xdr:rowOff>180976</xdr:rowOff>
    </xdr:from>
    <xdr:to>
      <xdr:col>10</xdr:col>
      <xdr:colOff>704475</xdr:colOff>
      <xdr:row>4</xdr:row>
      <xdr:rowOff>10726</xdr:rowOff>
    </xdr:to>
    <xdr:sp macro="" textlink="">
      <xdr:nvSpPr>
        <xdr:cNvPr id="19" name="Rectangle à coins arrondis 2">
          <a:hlinkClick xmlns:r="http://schemas.openxmlformats.org/officeDocument/2006/relationships" r:id="rId3" tooltip="Project Information"/>
          <a:extLst>
            <a:ext uri="{FF2B5EF4-FFF2-40B4-BE49-F238E27FC236}">
              <a16:creationId xmlns:a16="http://schemas.microsoft.com/office/drawing/2014/main" id="{00000000-0008-0000-0500-000013000000}"/>
            </a:ext>
          </a:extLst>
        </xdr:cNvPr>
        <xdr:cNvSpPr>
          <a:spLocks noChangeArrowheads="1"/>
        </xdr:cNvSpPr>
      </xdr:nvSpPr>
      <xdr:spPr bwMode="auto">
        <a:xfrm>
          <a:off x="6591300" y="800101"/>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Project Information</a:t>
          </a:r>
        </a:p>
      </xdr:txBody>
    </xdr:sp>
    <xdr:clientData/>
  </xdr:twoCellAnchor>
  <xdr:twoCellAnchor>
    <xdr:from>
      <xdr:col>10</xdr:col>
      <xdr:colOff>800475</xdr:colOff>
      <xdr:row>2</xdr:row>
      <xdr:rowOff>190501</xdr:rowOff>
    </xdr:from>
    <xdr:to>
      <xdr:col>12</xdr:col>
      <xdr:colOff>533400</xdr:colOff>
      <xdr:row>4</xdr:row>
      <xdr:rowOff>20251</xdr:rowOff>
    </xdr:to>
    <xdr:sp macro="" textlink="">
      <xdr:nvSpPr>
        <xdr:cNvPr id="20" name="Rectangle à coins arrondis 2">
          <a:hlinkClick xmlns:r="http://schemas.openxmlformats.org/officeDocument/2006/relationships" r:id="rId4" tooltip="Graphical Results"/>
          <a:extLst>
            <a:ext uri="{FF2B5EF4-FFF2-40B4-BE49-F238E27FC236}">
              <a16:creationId xmlns:a16="http://schemas.microsoft.com/office/drawing/2014/main" id="{00000000-0008-0000-0500-000014000000}"/>
            </a:ext>
          </a:extLst>
        </xdr:cNvPr>
        <xdr:cNvSpPr>
          <a:spLocks noChangeArrowheads="1"/>
        </xdr:cNvSpPr>
      </xdr:nvSpPr>
      <xdr:spPr bwMode="auto">
        <a:xfrm>
          <a:off x="8163300" y="809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Graphical Results </a:t>
          </a:r>
        </a:p>
      </xdr:txBody>
    </xdr:sp>
    <xdr:clientData/>
  </xdr:twoCellAnchor>
  <xdr:twoCellAnchor>
    <xdr:from>
      <xdr:col>12</xdr:col>
      <xdr:colOff>619125</xdr:colOff>
      <xdr:row>2</xdr:row>
      <xdr:rowOff>190501</xdr:rowOff>
    </xdr:from>
    <xdr:to>
      <xdr:col>14</xdr:col>
      <xdr:colOff>285375</xdr:colOff>
      <xdr:row>4</xdr:row>
      <xdr:rowOff>20251</xdr:rowOff>
    </xdr:to>
    <xdr:sp macro="" textlink="">
      <xdr:nvSpPr>
        <xdr:cNvPr id="21" name="Rectangle à coins arrondis 2">
          <a:hlinkClick xmlns:r="http://schemas.openxmlformats.org/officeDocument/2006/relationships" r:id="rId5" tooltip="Glossary"/>
          <a:extLst>
            <a:ext uri="{FF2B5EF4-FFF2-40B4-BE49-F238E27FC236}">
              <a16:creationId xmlns:a16="http://schemas.microsoft.com/office/drawing/2014/main" id="{00000000-0008-0000-0500-000015000000}"/>
            </a:ext>
          </a:extLst>
        </xdr:cNvPr>
        <xdr:cNvSpPr>
          <a:spLocks noChangeArrowheads="1"/>
        </xdr:cNvSpPr>
      </xdr:nvSpPr>
      <xdr:spPr bwMode="auto">
        <a:xfrm>
          <a:off x="9725025" y="809626"/>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Glossary</a:t>
          </a:r>
        </a:p>
      </xdr:txBody>
    </xdr:sp>
    <xdr:clientData/>
  </xdr:twoCellAnchor>
  <xdr:twoCellAnchor>
    <xdr:from>
      <xdr:col>9</xdr:col>
      <xdr:colOff>123825</xdr:colOff>
      <xdr:row>1</xdr:row>
      <xdr:rowOff>47625</xdr:rowOff>
    </xdr:from>
    <xdr:to>
      <xdr:col>10</xdr:col>
      <xdr:colOff>704475</xdr:colOff>
      <xdr:row>2</xdr:row>
      <xdr:rowOff>115500</xdr:rowOff>
    </xdr:to>
    <xdr:sp macro="" textlink="">
      <xdr:nvSpPr>
        <xdr:cNvPr id="23" name="Rectangle à coins arrondis 2">
          <a:hlinkClick xmlns:r="http://schemas.openxmlformats.org/officeDocument/2006/relationships" r:id="rId6" tooltip="Introduction"/>
          <a:extLst>
            <a:ext uri="{FF2B5EF4-FFF2-40B4-BE49-F238E27FC236}">
              <a16:creationId xmlns:a16="http://schemas.microsoft.com/office/drawing/2014/main" id="{00000000-0008-0000-0500-000017000000}"/>
            </a:ext>
          </a:extLst>
        </xdr:cNvPr>
        <xdr:cNvSpPr>
          <a:spLocks noChangeArrowheads="1"/>
        </xdr:cNvSpPr>
      </xdr:nvSpPr>
      <xdr:spPr bwMode="auto">
        <a:xfrm>
          <a:off x="6591300" y="428625"/>
          <a:ext cx="1476000" cy="306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84806"/>
              </a:solidFill>
              <a:effectLst/>
              <a:latin typeface="Arial" panose="020B0604020202020204" pitchFamily="34" charset="0"/>
              <a:ea typeface="+mn-ea"/>
              <a:cs typeface="Arial" panose="020B0604020202020204" pitchFamily="34" charset="0"/>
            </a:rPr>
            <a:t>Introduction</a:t>
          </a:r>
          <a:endParaRPr lang="fr-FR" sz="1200" b="0" i="0" u="none" strike="noStrike" baseline="0">
            <a:solidFill>
              <a:srgbClr val="984806"/>
            </a:solidFill>
            <a:latin typeface="Arial" panose="020B0604020202020204" pitchFamily="34" charset="0"/>
            <a:cs typeface="Arial" panose="020B0604020202020204" pitchFamily="34" charset="0"/>
          </a:endParaRPr>
        </a:p>
      </xdr:txBody>
    </xdr:sp>
    <xdr:clientData/>
  </xdr:twoCellAnchor>
  <xdr:twoCellAnchor editAs="oneCell">
    <xdr:from>
      <xdr:col>1</xdr:col>
      <xdr:colOff>114300</xdr:colOff>
      <xdr:row>25</xdr:row>
      <xdr:rowOff>66675</xdr:rowOff>
    </xdr:from>
    <xdr:to>
      <xdr:col>1</xdr:col>
      <xdr:colOff>640771</xdr:colOff>
      <xdr:row>27</xdr:row>
      <xdr:rowOff>149475</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419100" y="5334000"/>
          <a:ext cx="526471" cy="540000"/>
        </a:xfrm>
        <a:prstGeom prst="rect">
          <a:avLst/>
        </a:prstGeom>
      </xdr:spPr>
    </xdr:pic>
    <xdr:clientData/>
  </xdr:twoCellAnchor>
  <xdr:twoCellAnchor editAs="oneCell">
    <xdr:from>
      <xdr:col>1</xdr:col>
      <xdr:colOff>133350</xdr:colOff>
      <xdr:row>37</xdr:row>
      <xdr:rowOff>28575</xdr:rowOff>
    </xdr:from>
    <xdr:to>
      <xdr:col>1</xdr:col>
      <xdr:colOff>554527</xdr:colOff>
      <xdr:row>38</xdr:row>
      <xdr:rowOff>212925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7"/>
        <a:stretch>
          <a:fillRect/>
        </a:stretch>
      </xdr:blipFill>
      <xdr:spPr>
        <a:xfrm>
          <a:off x="438150" y="7610475"/>
          <a:ext cx="421177" cy="432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781050</xdr:colOff>
      <xdr:row>1</xdr:row>
      <xdr:rowOff>114300</xdr:rowOff>
    </xdr:from>
    <xdr:to>
      <xdr:col>3</xdr:col>
      <xdr:colOff>1199925</xdr:colOff>
      <xdr:row>3</xdr:row>
      <xdr:rowOff>57300</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3200-000003000000}"/>
            </a:ext>
          </a:extLst>
        </xdr:cNvPr>
        <xdr:cNvSpPr>
          <a:spLocks noChangeArrowheads="1"/>
        </xdr:cNvSpPr>
      </xdr:nvSpPr>
      <xdr:spPr bwMode="auto">
        <a:xfrm>
          <a:off x="2466975" y="438150"/>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600075</xdr:colOff>
      <xdr:row>1</xdr:row>
      <xdr:rowOff>142875</xdr:rowOff>
    </xdr:from>
    <xdr:to>
      <xdr:col>5</xdr:col>
      <xdr:colOff>222750</xdr:colOff>
      <xdr:row>3</xdr:row>
      <xdr:rowOff>49875</xdr:rowOff>
    </xdr:to>
    <xdr:sp macro="" textlink="">
      <xdr:nvSpPr>
        <xdr:cNvPr id="4" name="Rectangle à coins arrondis 2">
          <a:hlinkClick xmlns:r="http://schemas.openxmlformats.org/officeDocument/2006/relationships" r:id="rId2" tooltip="Man-BPC-1"/>
          <a:extLst>
            <a:ext uri="{FF2B5EF4-FFF2-40B4-BE49-F238E27FC236}">
              <a16:creationId xmlns:a16="http://schemas.microsoft.com/office/drawing/2014/main" id="{00000000-0008-0000-3200-000004000000}"/>
            </a:ext>
          </a:extLst>
        </xdr:cNvPr>
        <xdr:cNvSpPr>
          <a:spLocks noChangeArrowheads="1"/>
        </xdr:cNvSpPr>
      </xdr:nvSpPr>
      <xdr:spPr bwMode="auto">
        <a:xfrm>
          <a:off x="5048250"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Man-BPC-1</a:t>
          </a:r>
        </a:p>
      </xdr:txBody>
    </xdr:sp>
    <xdr:clientData/>
  </xdr:twoCellAnchor>
  <xdr:twoCellAnchor>
    <xdr:from>
      <xdr:col>5</xdr:col>
      <xdr:colOff>361950</xdr:colOff>
      <xdr:row>1</xdr:row>
      <xdr:rowOff>142875</xdr:rowOff>
    </xdr:from>
    <xdr:to>
      <xdr:col>6</xdr:col>
      <xdr:colOff>194175</xdr:colOff>
      <xdr:row>3</xdr:row>
      <xdr:rowOff>49875</xdr:rowOff>
    </xdr:to>
    <xdr:sp macro="" textlink="">
      <xdr:nvSpPr>
        <xdr:cNvPr id="5" name="Rectangle à coins arrondis 2">
          <a:hlinkClick xmlns:r="http://schemas.openxmlformats.org/officeDocument/2006/relationships" r:id="rId3" tooltip="Man-BPC-2"/>
          <a:extLst>
            <a:ext uri="{FF2B5EF4-FFF2-40B4-BE49-F238E27FC236}">
              <a16:creationId xmlns:a16="http://schemas.microsoft.com/office/drawing/2014/main" id="{00000000-0008-0000-3200-000005000000}"/>
            </a:ext>
          </a:extLst>
        </xdr:cNvPr>
        <xdr:cNvSpPr>
          <a:spLocks noChangeArrowheads="1"/>
        </xdr:cNvSpPr>
      </xdr:nvSpPr>
      <xdr:spPr bwMode="auto">
        <a:xfrm>
          <a:off x="6267450"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Man-BPC-2</a:t>
          </a:r>
        </a:p>
      </xdr:txBody>
    </xdr:sp>
    <xdr:clientData/>
  </xdr:twoCellAnchor>
  <xdr:twoCellAnchor>
    <xdr:from>
      <xdr:col>7</xdr:col>
      <xdr:colOff>342900</xdr:colOff>
      <xdr:row>1</xdr:row>
      <xdr:rowOff>104775</xdr:rowOff>
    </xdr:from>
    <xdr:to>
      <xdr:col>7</xdr:col>
      <xdr:colOff>790575</xdr:colOff>
      <xdr:row>3</xdr:row>
      <xdr:rowOff>76200</xdr:rowOff>
    </xdr:to>
    <xdr:sp macro="" textlink="">
      <xdr:nvSpPr>
        <xdr:cNvPr id="8" name="Up Arrow 7">
          <a:hlinkClick xmlns:r="http://schemas.openxmlformats.org/officeDocument/2006/relationships" r:id="rId4" tooltip="Back to top"/>
          <a:extLst>
            <a:ext uri="{FF2B5EF4-FFF2-40B4-BE49-F238E27FC236}">
              <a16:creationId xmlns:a16="http://schemas.microsoft.com/office/drawing/2014/main" id="{00000000-0008-0000-3200-000008000000}"/>
            </a:ext>
          </a:extLst>
        </xdr:cNvPr>
        <xdr:cNvSpPr/>
      </xdr:nvSpPr>
      <xdr:spPr>
        <a:xfrm>
          <a:off x="8743950" y="428625"/>
          <a:ext cx="447675"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1</xdr:row>
      <xdr:rowOff>114300</xdr:rowOff>
    </xdr:from>
    <xdr:to>
      <xdr:col>2</xdr:col>
      <xdr:colOff>541725</xdr:colOff>
      <xdr:row>3</xdr:row>
      <xdr:rowOff>57300</xdr:rowOff>
    </xdr:to>
    <xdr:sp macro="" textlink="">
      <xdr:nvSpPr>
        <xdr:cNvPr id="13" name="Rectangle à coins arrondis 2">
          <a:hlinkClick xmlns:r="http://schemas.openxmlformats.org/officeDocument/2006/relationships" r:id="rId5" tooltip="Back to C&amp;M"/>
          <a:extLst>
            <a:ext uri="{FF2B5EF4-FFF2-40B4-BE49-F238E27FC236}">
              <a16:creationId xmlns:a16="http://schemas.microsoft.com/office/drawing/2014/main" id="{00000000-0008-0000-3200-00000D000000}"/>
            </a:ext>
          </a:extLst>
        </xdr:cNvPr>
        <xdr:cNvSpPr>
          <a:spLocks noChangeArrowheads="1"/>
        </xdr:cNvSpPr>
      </xdr:nvSpPr>
      <xdr:spPr bwMode="auto">
        <a:xfrm>
          <a:off x="247650" y="438150"/>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Management</a:t>
          </a:r>
        </a:p>
      </xdr:txBody>
    </xdr:sp>
    <xdr:clientData/>
  </xdr:twoCellAnchor>
  <xdr:twoCellAnchor>
    <xdr:from>
      <xdr:col>6</xdr:col>
      <xdr:colOff>304800</xdr:colOff>
      <xdr:row>1</xdr:row>
      <xdr:rowOff>142875</xdr:rowOff>
    </xdr:from>
    <xdr:to>
      <xdr:col>7</xdr:col>
      <xdr:colOff>137025</xdr:colOff>
      <xdr:row>3</xdr:row>
      <xdr:rowOff>49875</xdr:rowOff>
    </xdr:to>
    <xdr:sp macro="" textlink="">
      <xdr:nvSpPr>
        <xdr:cNvPr id="9" name="Rectangle à coins arrondis 2">
          <a:hlinkClick xmlns:r="http://schemas.openxmlformats.org/officeDocument/2006/relationships" r:id="rId6" tooltip="Man-BPC-3"/>
          <a:extLst>
            <a:ext uri="{FF2B5EF4-FFF2-40B4-BE49-F238E27FC236}">
              <a16:creationId xmlns:a16="http://schemas.microsoft.com/office/drawing/2014/main" id="{00000000-0008-0000-3200-000009000000}"/>
            </a:ext>
          </a:extLst>
        </xdr:cNvPr>
        <xdr:cNvSpPr>
          <a:spLocks noChangeArrowheads="1"/>
        </xdr:cNvSpPr>
      </xdr:nvSpPr>
      <xdr:spPr bwMode="auto">
        <a:xfrm>
          <a:off x="7458075" y="46672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Man-BPC-3</a:t>
          </a:r>
        </a:p>
      </xdr:txBody>
    </xdr:sp>
    <xdr:clientData/>
  </xdr:twoCellAnchor>
  <xdr:twoCellAnchor editAs="oneCell">
    <xdr:from>
      <xdr:col>1</xdr:col>
      <xdr:colOff>19050</xdr:colOff>
      <xdr:row>18</xdr:row>
      <xdr:rowOff>123825</xdr:rowOff>
    </xdr:from>
    <xdr:to>
      <xdr:col>1</xdr:col>
      <xdr:colOff>379050</xdr:colOff>
      <xdr:row>20</xdr:row>
      <xdr:rowOff>102825</xdr:rowOff>
    </xdr:to>
    <xdr:pic>
      <xdr:nvPicPr>
        <xdr:cNvPr id="12" name="Picture 11">
          <a:extLst>
            <a:ext uri="{FF2B5EF4-FFF2-40B4-BE49-F238E27FC236}">
              <a16:creationId xmlns:a16="http://schemas.microsoft.com/office/drawing/2014/main" id="{00000000-0008-0000-3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 y="4495800"/>
          <a:ext cx="360000" cy="360000"/>
        </a:xfrm>
        <a:prstGeom prst="rect">
          <a:avLst/>
        </a:prstGeom>
      </xdr:spPr>
    </xdr:pic>
    <xdr:clientData/>
  </xdr:twoCellAnchor>
  <xdr:oneCellAnchor>
    <xdr:from>
      <xdr:col>1</xdr:col>
      <xdr:colOff>9525</xdr:colOff>
      <xdr:row>20</xdr:row>
      <xdr:rowOff>171450</xdr:rowOff>
    </xdr:from>
    <xdr:ext cx="360000" cy="360000"/>
    <xdr:pic>
      <xdr:nvPicPr>
        <xdr:cNvPr id="14" name="Picture 13">
          <a:extLst>
            <a:ext uri="{FF2B5EF4-FFF2-40B4-BE49-F238E27FC236}">
              <a16:creationId xmlns:a16="http://schemas.microsoft.com/office/drawing/2014/main" id="{00000000-0008-0000-32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4325" y="4886325"/>
          <a:ext cx="360000" cy="360000"/>
        </a:xfrm>
        <a:prstGeom prst="rect">
          <a:avLst/>
        </a:prstGeom>
      </xdr:spPr>
    </xdr:pic>
    <xdr:clientData/>
  </xdr:oneCellAnchor>
  <xdr:oneCellAnchor>
    <xdr:from>
      <xdr:col>1</xdr:col>
      <xdr:colOff>28575</xdr:colOff>
      <xdr:row>46</xdr:row>
      <xdr:rowOff>104775</xdr:rowOff>
    </xdr:from>
    <xdr:ext cx="360000" cy="360000"/>
    <xdr:pic>
      <xdr:nvPicPr>
        <xdr:cNvPr id="10" name="Picture 9">
          <a:extLst>
            <a:ext uri="{FF2B5EF4-FFF2-40B4-BE49-F238E27FC236}">
              <a16:creationId xmlns:a16="http://schemas.microsoft.com/office/drawing/2014/main" id="{00000000-0008-0000-3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10772775"/>
          <a:ext cx="360000" cy="360000"/>
        </a:xfrm>
        <a:prstGeom prst="rect">
          <a:avLst/>
        </a:prstGeom>
      </xdr:spPr>
    </xdr:pic>
    <xdr:clientData/>
  </xdr:oneCellAnchor>
  <xdr:oneCellAnchor>
    <xdr:from>
      <xdr:col>1</xdr:col>
      <xdr:colOff>38100</xdr:colOff>
      <xdr:row>78</xdr:row>
      <xdr:rowOff>104775</xdr:rowOff>
    </xdr:from>
    <xdr:ext cx="360000" cy="360000"/>
    <xdr:pic>
      <xdr:nvPicPr>
        <xdr:cNvPr id="15" name="Picture 14">
          <a:extLst>
            <a:ext uri="{FF2B5EF4-FFF2-40B4-BE49-F238E27FC236}">
              <a16:creationId xmlns:a16="http://schemas.microsoft.com/office/drawing/2014/main" id="{00000000-0008-0000-32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8307050"/>
          <a:ext cx="360000" cy="360000"/>
        </a:xfrm>
        <a:prstGeom prst="rect">
          <a:avLst/>
        </a:prstGeom>
      </xdr:spPr>
    </xdr:pic>
    <xdr:clientData/>
  </xdr:oneCellAnchor>
  <xdr:oneCellAnchor>
    <xdr:from>
      <xdr:col>1</xdr:col>
      <xdr:colOff>28575</xdr:colOff>
      <xdr:row>90</xdr:row>
      <xdr:rowOff>133350</xdr:rowOff>
    </xdr:from>
    <xdr:ext cx="360000" cy="360000"/>
    <xdr:pic>
      <xdr:nvPicPr>
        <xdr:cNvPr id="16" name="Picture 15">
          <a:extLst>
            <a:ext uri="{FF2B5EF4-FFF2-40B4-BE49-F238E27FC236}">
              <a16:creationId xmlns:a16="http://schemas.microsoft.com/office/drawing/2014/main" id="{00000000-0008-0000-32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16706850"/>
          <a:ext cx="360000" cy="360000"/>
        </a:xfrm>
        <a:prstGeom prst="rect">
          <a:avLst/>
        </a:prstGeom>
      </xdr:spPr>
    </xdr:pic>
    <xdr:clientData/>
  </xdr:oneCellAnchor>
  <xdr:twoCellAnchor editAs="oneCell">
    <xdr:from>
      <xdr:col>1</xdr:col>
      <xdr:colOff>66675</xdr:colOff>
      <xdr:row>86</xdr:row>
      <xdr:rowOff>142875</xdr:rowOff>
    </xdr:from>
    <xdr:to>
      <xdr:col>1</xdr:col>
      <xdr:colOff>534675</xdr:colOff>
      <xdr:row>88</xdr:row>
      <xdr:rowOff>229875</xdr:rowOff>
    </xdr:to>
    <xdr:pic>
      <xdr:nvPicPr>
        <xdr:cNvPr id="17" name="Picture 16">
          <a:extLst>
            <a:ext uri="{FF2B5EF4-FFF2-40B4-BE49-F238E27FC236}">
              <a16:creationId xmlns:a16="http://schemas.microsoft.com/office/drawing/2014/main" id="{00000000-0008-0000-32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18507075"/>
          <a:ext cx="468000" cy="468000"/>
        </a:xfrm>
        <a:prstGeom prst="rect">
          <a:avLst/>
        </a:prstGeom>
      </xdr:spPr>
    </xdr:pic>
    <xdr:clientData/>
  </xdr:twoCellAnchor>
  <xdr:twoCellAnchor editAs="oneCell">
    <xdr:from>
      <xdr:col>1</xdr:col>
      <xdr:colOff>28575</xdr:colOff>
      <xdr:row>48</xdr:row>
      <xdr:rowOff>123825</xdr:rowOff>
    </xdr:from>
    <xdr:to>
      <xdr:col>1</xdr:col>
      <xdr:colOff>388575</xdr:colOff>
      <xdr:row>50</xdr:row>
      <xdr:rowOff>102825</xdr:rowOff>
    </xdr:to>
    <xdr:pic>
      <xdr:nvPicPr>
        <xdr:cNvPr id="18" name="Picture 17">
          <a:extLst>
            <a:ext uri="{FF2B5EF4-FFF2-40B4-BE49-F238E27FC236}">
              <a16:creationId xmlns:a16="http://schemas.microsoft.com/office/drawing/2014/main" id="{00000000-0008-0000-32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1191875"/>
          <a:ext cx="360000" cy="360000"/>
        </a:xfrm>
        <a:prstGeom prst="rect">
          <a:avLst/>
        </a:prstGeom>
      </xdr:spPr>
    </xdr:pic>
    <xdr:clientData/>
  </xdr:twoCellAnchor>
  <xdr:oneCellAnchor>
    <xdr:from>
      <xdr:col>1</xdr:col>
      <xdr:colOff>28575</xdr:colOff>
      <xdr:row>80</xdr:row>
      <xdr:rowOff>104775</xdr:rowOff>
    </xdr:from>
    <xdr:ext cx="360000" cy="360000"/>
    <xdr:pic>
      <xdr:nvPicPr>
        <xdr:cNvPr id="19" name="Picture 18">
          <a:extLst>
            <a:ext uri="{FF2B5EF4-FFF2-40B4-BE49-F238E27FC236}">
              <a16:creationId xmlns:a16="http://schemas.microsoft.com/office/drawing/2014/main" id="{00000000-0008-0000-3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8688050"/>
          <a:ext cx="360000" cy="360000"/>
        </a:xfrm>
        <a:prstGeom prst="rect">
          <a:avLst/>
        </a:prstGeom>
      </xdr:spPr>
    </xdr:pic>
    <xdr:clientData/>
  </xdr:oneCellAnchor>
  <xdr:twoCellAnchor editAs="oneCell">
    <xdr:from>
      <xdr:col>1</xdr:col>
      <xdr:colOff>66675</xdr:colOff>
      <xdr:row>83</xdr:row>
      <xdr:rowOff>266700</xdr:rowOff>
    </xdr:from>
    <xdr:to>
      <xdr:col>1</xdr:col>
      <xdr:colOff>568720</xdr:colOff>
      <xdr:row>84</xdr:row>
      <xdr:rowOff>256350</xdr:rowOff>
    </xdr:to>
    <xdr:pic>
      <xdr:nvPicPr>
        <xdr:cNvPr id="21" name="Picture 20">
          <a:extLst>
            <a:ext uri="{FF2B5EF4-FFF2-40B4-BE49-F238E27FC236}">
              <a16:creationId xmlns:a16="http://schemas.microsoft.com/office/drawing/2014/main" id="{00000000-0008-0000-32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71475" y="19754850"/>
          <a:ext cx="502045" cy="504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31747</xdr:colOff>
      <xdr:row>10</xdr:row>
      <xdr:rowOff>10582</xdr:rowOff>
    </xdr:from>
    <xdr:to>
      <xdr:col>1</xdr:col>
      <xdr:colOff>2011747</xdr:colOff>
      <xdr:row>12</xdr:row>
      <xdr:rowOff>25582</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3300-000003000000}"/>
            </a:ext>
          </a:extLst>
        </xdr:cNvPr>
        <xdr:cNvSpPr>
          <a:spLocks noChangeArrowheads="1"/>
        </xdr:cNvSpPr>
      </xdr:nvSpPr>
      <xdr:spPr bwMode="auto">
        <a:xfrm>
          <a:off x="412747" y="2741082"/>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105833</xdr:colOff>
      <xdr:row>0</xdr:row>
      <xdr:rowOff>42333</xdr:rowOff>
    </xdr:from>
    <xdr:to>
      <xdr:col>11</xdr:col>
      <xdr:colOff>159166</xdr:colOff>
      <xdr:row>2</xdr:row>
      <xdr:rowOff>210009</xdr:rowOff>
    </xdr:to>
    <xdr:pic>
      <xdr:nvPicPr>
        <xdr:cNvPr id="5" name="Image 2" descr="Innovation.png">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10562166" y="42333"/>
          <a:ext cx="900000" cy="908509"/>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66674</xdr:colOff>
      <xdr:row>1</xdr:row>
      <xdr:rowOff>123825</xdr:rowOff>
    </xdr:from>
    <xdr:to>
      <xdr:col>3</xdr:col>
      <xdr:colOff>152399</xdr:colOff>
      <xdr:row>3</xdr:row>
      <xdr:rowOff>66825</xdr:rowOff>
    </xdr:to>
    <xdr:sp macro="" textlink="">
      <xdr:nvSpPr>
        <xdr:cNvPr id="2" name="Rectangle à coins arrondis 2">
          <a:hlinkClick xmlns:r="http://schemas.openxmlformats.org/officeDocument/2006/relationships" r:id="rId1" tooltip="Back to Exceptional Performance"/>
          <a:extLst>
            <a:ext uri="{FF2B5EF4-FFF2-40B4-BE49-F238E27FC236}">
              <a16:creationId xmlns:a16="http://schemas.microsoft.com/office/drawing/2014/main" id="{00000000-0008-0000-3400-000002000000}"/>
            </a:ext>
          </a:extLst>
        </xdr:cNvPr>
        <xdr:cNvSpPr>
          <a:spLocks noChangeArrowheads="1"/>
        </xdr:cNvSpPr>
      </xdr:nvSpPr>
      <xdr:spPr bwMode="auto">
        <a:xfrm>
          <a:off x="447674" y="447675"/>
          <a:ext cx="2447925"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Exceptional Performance</a:t>
          </a:r>
        </a:p>
      </xdr:txBody>
    </xdr:sp>
    <xdr:clientData/>
  </xdr:twoCellAnchor>
  <xdr:twoCellAnchor>
    <xdr:from>
      <xdr:col>3</xdr:col>
      <xdr:colOff>723901</xdr:colOff>
      <xdr:row>1</xdr:row>
      <xdr:rowOff>133349</xdr:rowOff>
    </xdr:from>
    <xdr:to>
      <xdr:col>5</xdr:col>
      <xdr:colOff>158776</xdr:colOff>
      <xdr:row>3</xdr:row>
      <xdr:rowOff>76349</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400-000003000000}"/>
            </a:ext>
          </a:extLst>
        </xdr:cNvPr>
        <xdr:cNvSpPr>
          <a:spLocks noChangeArrowheads="1"/>
        </xdr:cNvSpPr>
      </xdr:nvSpPr>
      <xdr:spPr bwMode="auto">
        <a:xfrm>
          <a:off x="3467101" y="457199"/>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14</xdr:row>
      <xdr:rowOff>76200</xdr:rowOff>
    </xdr:from>
    <xdr:to>
      <xdr:col>1</xdr:col>
      <xdr:colOff>379050</xdr:colOff>
      <xdr:row>16</xdr:row>
      <xdr:rowOff>102825</xdr:rowOff>
    </xdr:to>
    <xdr:pic>
      <xdr:nvPicPr>
        <xdr:cNvPr id="4" name="Picture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3152775"/>
          <a:ext cx="360000" cy="360000"/>
        </a:xfrm>
        <a:prstGeom prst="rect">
          <a:avLst/>
        </a:prstGeom>
      </xdr:spPr>
    </xdr:pic>
    <xdr:clientData/>
  </xdr:twoCellAnchor>
  <xdr:twoCellAnchor>
    <xdr:from>
      <xdr:col>8</xdr:col>
      <xdr:colOff>114300</xdr:colOff>
      <xdr:row>1</xdr:row>
      <xdr:rowOff>104775</xdr:rowOff>
    </xdr:from>
    <xdr:to>
      <xdr:col>8</xdr:col>
      <xdr:colOff>561975</xdr:colOff>
      <xdr:row>3</xdr:row>
      <xdr:rowOff>76200</xdr:rowOff>
    </xdr:to>
    <xdr:sp macro="" textlink="">
      <xdr:nvSpPr>
        <xdr:cNvPr id="5" name="Up Arrow 4">
          <a:hlinkClick xmlns:r="http://schemas.openxmlformats.org/officeDocument/2006/relationships" r:id="rId4" tooltip="Back to top"/>
          <a:extLst>
            <a:ext uri="{FF2B5EF4-FFF2-40B4-BE49-F238E27FC236}">
              <a16:creationId xmlns:a16="http://schemas.microsoft.com/office/drawing/2014/main" id="{00000000-0008-0000-3400-000005000000}"/>
            </a:ext>
          </a:extLst>
        </xdr:cNvPr>
        <xdr:cNvSpPr/>
      </xdr:nvSpPr>
      <xdr:spPr>
        <a:xfrm>
          <a:off x="8886825" y="428625"/>
          <a:ext cx="447675"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3</xdr:col>
      <xdr:colOff>657225</xdr:colOff>
      <xdr:row>1</xdr:row>
      <xdr:rowOff>133349</xdr:rowOff>
    </xdr:from>
    <xdr:to>
      <xdr:col>5</xdr:col>
      <xdr:colOff>539775</xdr:colOff>
      <xdr:row>3</xdr:row>
      <xdr:rowOff>76349</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3500-000003000000}"/>
            </a:ext>
          </a:extLst>
        </xdr:cNvPr>
        <xdr:cNvSpPr>
          <a:spLocks noChangeArrowheads="1"/>
        </xdr:cNvSpPr>
      </xdr:nvSpPr>
      <xdr:spPr bwMode="auto">
        <a:xfrm>
          <a:off x="3400425" y="457199"/>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0</xdr:col>
      <xdr:colOff>352425</xdr:colOff>
      <xdr:row>15</xdr:row>
      <xdr:rowOff>66675</xdr:rowOff>
    </xdr:from>
    <xdr:to>
      <xdr:col>1</xdr:col>
      <xdr:colOff>432000</xdr:colOff>
      <xdr:row>17</xdr:row>
      <xdr:rowOff>117675</xdr:rowOff>
    </xdr:to>
    <xdr:pic>
      <xdr:nvPicPr>
        <xdr:cNvPr id="5" name="Picture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390900"/>
          <a:ext cx="432000" cy="432000"/>
        </a:xfrm>
        <a:prstGeom prst="rect">
          <a:avLst/>
        </a:prstGeom>
      </xdr:spPr>
    </xdr:pic>
    <xdr:clientData/>
  </xdr:twoCellAnchor>
  <xdr:twoCellAnchor>
    <xdr:from>
      <xdr:col>8</xdr:col>
      <xdr:colOff>114300</xdr:colOff>
      <xdr:row>1</xdr:row>
      <xdr:rowOff>104775</xdr:rowOff>
    </xdr:from>
    <xdr:to>
      <xdr:col>8</xdr:col>
      <xdr:colOff>561975</xdr:colOff>
      <xdr:row>3</xdr:row>
      <xdr:rowOff>76200</xdr:rowOff>
    </xdr:to>
    <xdr:sp macro="" textlink="">
      <xdr:nvSpPr>
        <xdr:cNvPr id="6" name="Up Arrow 5">
          <a:hlinkClick xmlns:r="http://schemas.openxmlformats.org/officeDocument/2006/relationships" r:id="rId3" tooltip="Back to top"/>
          <a:extLst>
            <a:ext uri="{FF2B5EF4-FFF2-40B4-BE49-F238E27FC236}">
              <a16:creationId xmlns:a16="http://schemas.microsoft.com/office/drawing/2014/main" id="{00000000-0008-0000-3500-000006000000}"/>
            </a:ext>
          </a:extLst>
        </xdr:cNvPr>
        <xdr:cNvSpPr/>
      </xdr:nvSpPr>
      <xdr:spPr>
        <a:xfrm>
          <a:off x="8886825" y="428625"/>
          <a:ext cx="447675" cy="352425"/>
        </a:xfrm>
        <a:prstGeom prst="upArrow">
          <a:avLst/>
        </a:prstGeom>
        <a:solidFill>
          <a:srgbClr val="FFC0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1</xdr:row>
      <xdr:rowOff>123825</xdr:rowOff>
    </xdr:from>
    <xdr:to>
      <xdr:col>3</xdr:col>
      <xdr:colOff>142875</xdr:colOff>
      <xdr:row>3</xdr:row>
      <xdr:rowOff>66825</xdr:rowOff>
    </xdr:to>
    <xdr:sp macro="" textlink="">
      <xdr:nvSpPr>
        <xdr:cNvPr id="7" name="Rectangle à coins arrondis 2">
          <a:hlinkClick xmlns:r="http://schemas.openxmlformats.org/officeDocument/2006/relationships" r:id="rId4" tooltip="Back to Exceptional Performance"/>
          <a:extLst>
            <a:ext uri="{FF2B5EF4-FFF2-40B4-BE49-F238E27FC236}">
              <a16:creationId xmlns:a16="http://schemas.microsoft.com/office/drawing/2014/main" id="{F4A2F253-EF7B-443B-A4D4-A076B65AA24A}"/>
            </a:ext>
          </a:extLst>
        </xdr:cNvPr>
        <xdr:cNvSpPr>
          <a:spLocks noChangeArrowheads="1"/>
        </xdr:cNvSpPr>
      </xdr:nvSpPr>
      <xdr:spPr bwMode="auto">
        <a:xfrm>
          <a:off x="438150" y="447675"/>
          <a:ext cx="2447925"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Exceptional Performance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685801</xdr:colOff>
      <xdr:row>0</xdr:row>
      <xdr:rowOff>47625</xdr:rowOff>
    </xdr:from>
    <xdr:to>
      <xdr:col>16</xdr:col>
      <xdr:colOff>526576</xdr:colOff>
      <xdr:row>0</xdr:row>
      <xdr:rowOff>335625</xdr:rowOff>
    </xdr:to>
    <xdr:sp macro="" textlink="">
      <xdr:nvSpPr>
        <xdr:cNvPr id="6" name="Rectangle à coins arrondis 2">
          <a:hlinkClick xmlns:r="http://schemas.openxmlformats.org/officeDocument/2006/relationships" r:id="rId1" tooltip="Scorecard"/>
          <a:extLst>
            <a:ext uri="{FF2B5EF4-FFF2-40B4-BE49-F238E27FC236}">
              <a16:creationId xmlns:a16="http://schemas.microsoft.com/office/drawing/2014/main" id="{00000000-0008-0000-3600-000006000000}"/>
            </a:ext>
          </a:extLst>
        </xdr:cNvPr>
        <xdr:cNvSpPr>
          <a:spLocks noChangeArrowheads="1"/>
        </xdr:cNvSpPr>
      </xdr:nvSpPr>
      <xdr:spPr bwMode="auto">
        <a:xfrm>
          <a:off x="11201401"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14</xdr:col>
      <xdr:colOff>691624</xdr:colOff>
      <xdr:row>0</xdr:row>
      <xdr:rowOff>47625</xdr:rowOff>
    </xdr:from>
    <xdr:to>
      <xdr:col>15</xdr:col>
      <xdr:colOff>532399</xdr:colOff>
      <xdr:row>0</xdr:row>
      <xdr:rowOff>335625</xdr:rowOff>
    </xdr:to>
    <xdr:sp macro="" textlink="">
      <xdr:nvSpPr>
        <xdr:cNvPr id="7" name="Rectangle à coins arrondis 2">
          <a:hlinkClick xmlns:r="http://schemas.openxmlformats.org/officeDocument/2006/relationships" r:id="rId2" tooltip="Instructions"/>
          <a:extLst>
            <a:ext uri="{FF2B5EF4-FFF2-40B4-BE49-F238E27FC236}">
              <a16:creationId xmlns:a16="http://schemas.microsoft.com/office/drawing/2014/main" id="{00000000-0008-0000-3600-000007000000}"/>
            </a:ext>
          </a:extLst>
        </xdr:cNvPr>
        <xdr:cNvSpPr>
          <a:spLocks noChangeArrowheads="1"/>
        </xdr:cNvSpPr>
      </xdr:nvSpPr>
      <xdr:spPr bwMode="auto">
        <a:xfrm>
          <a:off x="9787999"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12</xdr:col>
      <xdr:colOff>523875</xdr:colOff>
      <xdr:row>0</xdr:row>
      <xdr:rowOff>47625</xdr:rowOff>
    </xdr:from>
    <xdr:to>
      <xdr:col>14</xdr:col>
      <xdr:colOff>555150</xdr:colOff>
      <xdr:row>0</xdr:row>
      <xdr:rowOff>335625</xdr:rowOff>
    </xdr:to>
    <xdr:sp macro="" textlink="">
      <xdr:nvSpPr>
        <xdr:cNvPr id="8" name="Rectangle à coins arrondis 2">
          <a:hlinkClick xmlns:r="http://schemas.openxmlformats.org/officeDocument/2006/relationships" r:id="rId3" tooltip="Introduction"/>
          <a:extLst>
            <a:ext uri="{FF2B5EF4-FFF2-40B4-BE49-F238E27FC236}">
              <a16:creationId xmlns:a16="http://schemas.microsoft.com/office/drawing/2014/main" id="{00000000-0008-0000-3600-000008000000}"/>
            </a:ext>
          </a:extLst>
        </xdr:cNvPr>
        <xdr:cNvSpPr>
          <a:spLocks noChangeArrowheads="1"/>
        </xdr:cNvSpPr>
      </xdr:nvSpPr>
      <xdr:spPr bwMode="auto">
        <a:xfrm>
          <a:off x="8391525" y="47625"/>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14</xdr:col>
      <xdr:colOff>419101</xdr:colOff>
      <xdr:row>0</xdr:row>
      <xdr:rowOff>38100</xdr:rowOff>
    </xdr:from>
    <xdr:to>
      <xdr:col>16</xdr:col>
      <xdr:colOff>459901</xdr:colOff>
      <xdr:row>0</xdr:row>
      <xdr:rowOff>326100</xdr:rowOff>
    </xdr:to>
    <xdr:sp macro="" textlink="">
      <xdr:nvSpPr>
        <xdr:cNvPr id="10" name="Rectangle à coins arrondis 2">
          <a:hlinkClick xmlns:r="http://schemas.openxmlformats.org/officeDocument/2006/relationships" r:id="rId1" tooltip="Scorecard"/>
          <a:extLst>
            <a:ext uri="{FF2B5EF4-FFF2-40B4-BE49-F238E27FC236}">
              <a16:creationId xmlns:a16="http://schemas.microsoft.com/office/drawing/2014/main" id="{00000000-0008-0000-3700-00000A000000}"/>
            </a:ext>
          </a:extLst>
        </xdr:cNvPr>
        <xdr:cNvSpPr>
          <a:spLocks noChangeArrowheads="1"/>
        </xdr:cNvSpPr>
      </xdr:nvSpPr>
      <xdr:spPr bwMode="auto">
        <a:xfrm>
          <a:off x="879157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12</xdr:col>
      <xdr:colOff>224899</xdr:colOff>
      <xdr:row>0</xdr:row>
      <xdr:rowOff>38100</xdr:rowOff>
    </xdr:from>
    <xdr:to>
      <xdr:col>14</xdr:col>
      <xdr:colOff>265699</xdr:colOff>
      <xdr:row>0</xdr:row>
      <xdr:rowOff>326100</xdr:rowOff>
    </xdr:to>
    <xdr:sp macro="" textlink="">
      <xdr:nvSpPr>
        <xdr:cNvPr id="11" name="Rectangle à coins arrondis 2">
          <a:hlinkClick xmlns:r="http://schemas.openxmlformats.org/officeDocument/2006/relationships" r:id="rId2" tooltip="Instructions"/>
          <a:extLst>
            <a:ext uri="{FF2B5EF4-FFF2-40B4-BE49-F238E27FC236}">
              <a16:creationId xmlns:a16="http://schemas.microsoft.com/office/drawing/2014/main" id="{00000000-0008-0000-3700-00000B000000}"/>
            </a:ext>
          </a:extLst>
        </xdr:cNvPr>
        <xdr:cNvSpPr>
          <a:spLocks noChangeArrowheads="1"/>
        </xdr:cNvSpPr>
      </xdr:nvSpPr>
      <xdr:spPr bwMode="auto">
        <a:xfrm>
          <a:off x="737817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10</xdr:col>
      <xdr:colOff>47625</xdr:colOff>
      <xdr:row>0</xdr:row>
      <xdr:rowOff>38100</xdr:rowOff>
    </xdr:from>
    <xdr:to>
      <xdr:col>12</xdr:col>
      <xdr:colOff>88425</xdr:colOff>
      <xdr:row>0</xdr:row>
      <xdr:rowOff>326100</xdr:rowOff>
    </xdr:to>
    <xdr:sp macro="" textlink="">
      <xdr:nvSpPr>
        <xdr:cNvPr id="12" name="Rectangle à coins arrondis 2">
          <a:hlinkClick xmlns:r="http://schemas.openxmlformats.org/officeDocument/2006/relationships" r:id="rId3" tooltip="Introduction"/>
          <a:extLst>
            <a:ext uri="{FF2B5EF4-FFF2-40B4-BE49-F238E27FC236}">
              <a16:creationId xmlns:a16="http://schemas.microsoft.com/office/drawing/2014/main" id="{00000000-0008-0000-3700-00000C000000}"/>
            </a:ext>
          </a:extLst>
        </xdr:cNvPr>
        <xdr:cNvSpPr>
          <a:spLocks noChangeArrowheads="1"/>
        </xdr:cNvSpPr>
      </xdr:nvSpPr>
      <xdr:spPr bwMode="auto">
        <a:xfrm>
          <a:off x="598170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xdr:from>
      <xdr:col>13</xdr:col>
      <xdr:colOff>85725</xdr:colOff>
      <xdr:row>37</xdr:row>
      <xdr:rowOff>19049</xdr:rowOff>
    </xdr:from>
    <xdr:to>
      <xdr:col>16</xdr:col>
      <xdr:colOff>560925</xdr:colOff>
      <xdr:row>37</xdr:row>
      <xdr:rowOff>307049</xdr:rowOff>
    </xdr:to>
    <xdr:sp macro="" textlink="">
      <xdr:nvSpPr>
        <xdr:cNvPr id="13" name="Rectangle à coins arrondis 2">
          <a:hlinkClick xmlns:r="http://schemas.openxmlformats.org/officeDocument/2006/relationships" r:id="rId4" tooltip="Certification checklist"/>
          <a:extLst>
            <a:ext uri="{FF2B5EF4-FFF2-40B4-BE49-F238E27FC236}">
              <a16:creationId xmlns:a16="http://schemas.microsoft.com/office/drawing/2014/main" id="{00000000-0008-0000-3700-00000D000000}"/>
            </a:ext>
          </a:extLst>
        </xdr:cNvPr>
        <xdr:cNvSpPr>
          <a:spLocks noChangeArrowheads="1"/>
        </xdr:cNvSpPr>
      </xdr:nvSpPr>
      <xdr:spPr bwMode="auto">
        <a:xfrm>
          <a:off x="7867650" y="8458199"/>
          <a:ext cx="2304000" cy="288000"/>
        </a:xfrm>
        <a:prstGeom prst="roundRect">
          <a:avLst>
            <a:gd name="adj" fmla="val 16667"/>
          </a:avLst>
        </a:prstGeom>
        <a:solidFill>
          <a:sysClr val="window" lastClr="FFFFFF"/>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Back to Certification checklist</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495935</xdr:colOff>
      <xdr:row>90</xdr:row>
      <xdr:rowOff>104775</xdr:rowOff>
    </xdr:from>
    <xdr:to>
      <xdr:col>16</xdr:col>
      <xdr:colOff>180975</xdr:colOff>
      <xdr:row>101</xdr:row>
      <xdr:rowOff>169275</xdr:rowOff>
    </xdr:to>
    <xdr:pic>
      <xdr:nvPicPr>
        <xdr:cNvPr id="15" name="Picture 14" descr="H3-Daylight Control.jpg">
          <a:extLst>
            <a:ext uri="{FF2B5EF4-FFF2-40B4-BE49-F238E27FC236}">
              <a16:creationId xmlns:a16="http://schemas.microsoft.com/office/drawing/2014/main" id="{00000000-0008-0000-3800-00000F000000}"/>
            </a:ext>
          </a:extLst>
        </xdr:cNvPr>
        <xdr:cNvPicPr/>
      </xdr:nvPicPr>
      <xdr:blipFill>
        <a:blip xmlns:r="http://schemas.openxmlformats.org/officeDocument/2006/relationships" r:embed="rId1" cstate="print"/>
        <a:stretch>
          <a:fillRect/>
        </a:stretch>
      </xdr:blipFill>
      <xdr:spPr>
        <a:xfrm>
          <a:off x="3991610" y="9867900"/>
          <a:ext cx="5781040" cy="2160000"/>
        </a:xfrm>
        <a:prstGeom prst="rect">
          <a:avLst/>
        </a:prstGeom>
      </xdr:spPr>
    </xdr:pic>
    <xdr:clientData/>
  </xdr:twoCellAnchor>
  <xdr:twoCellAnchor>
    <xdr:from>
      <xdr:col>14</xdr:col>
      <xdr:colOff>161925</xdr:colOff>
      <xdr:row>87</xdr:row>
      <xdr:rowOff>38100</xdr:rowOff>
    </xdr:from>
    <xdr:to>
      <xdr:col>16</xdr:col>
      <xdr:colOff>562725</xdr:colOff>
      <xdr:row>88</xdr:row>
      <xdr:rowOff>85875</xdr:rowOff>
    </xdr:to>
    <xdr:sp macro="" textlink="">
      <xdr:nvSpPr>
        <xdr:cNvPr id="16" name="Rectangle à coins arrondis 2">
          <a:hlinkClick xmlns:r="http://schemas.openxmlformats.org/officeDocument/2006/relationships" r:id="rId2" tooltip="H-5"/>
          <a:extLst>
            <a:ext uri="{FF2B5EF4-FFF2-40B4-BE49-F238E27FC236}">
              <a16:creationId xmlns:a16="http://schemas.microsoft.com/office/drawing/2014/main" id="{00000000-0008-0000-3800-000010000000}"/>
            </a:ext>
          </a:extLst>
        </xdr:cNvPr>
        <xdr:cNvSpPr>
          <a:spLocks noChangeArrowheads="1"/>
        </xdr:cNvSpPr>
      </xdr:nvSpPr>
      <xdr:spPr bwMode="auto">
        <a:xfrm>
          <a:off x="8496300" y="9105900"/>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H-5</a:t>
          </a:r>
        </a:p>
      </xdr:txBody>
    </xdr:sp>
    <xdr:clientData/>
  </xdr:twoCellAnchor>
  <xdr:twoCellAnchor>
    <xdr:from>
      <xdr:col>14</xdr:col>
      <xdr:colOff>9525</xdr:colOff>
      <xdr:row>72</xdr:row>
      <xdr:rowOff>28575</xdr:rowOff>
    </xdr:from>
    <xdr:to>
      <xdr:col>16</xdr:col>
      <xdr:colOff>410325</xdr:colOff>
      <xdr:row>73</xdr:row>
      <xdr:rowOff>47775</xdr:rowOff>
    </xdr:to>
    <xdr:sp macro="" textlink="">
      <xdr:nvSpPr>
        <xdr:cNvPr id="14" name="Rectangle à coins arrondis 2">
          <a:hlinkClick xmlns:r="http://schemas.openxmlformats.org/officeDocument/2006/relationships" r:id="rId3" tooltip="SE-4"/>
          <a:extLst>
            <a:ext uri="{FF2B5EF4-FFF2-40B4-BE49-F238E27FC236}">
              <a16:creationId xmlns:a16="http://schemas.microsoft.com/office/drawing/2014/main" id="{00000000-0008-0000-3800-00000E000000}"/>
            </a:ext>
          </a:extLst>
        </xdr:cNvPr>
        <xdr:cNvSpPr>
          <a:spLocks noChangeArrowheads="1"/>
        </xdr:cNvSpPr>
      </xdr:nvSpPr>
      <xdr:spPr bwMode="auto">
        <a:xfrm>
          <a:off x="8382000" y="9134475"/>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SE-4</a:t>
          </a:r>
        </a:p>
      </xdr:txBody>
    </xdr:sp>
    <xdr:clientData/>
  </xdr:twoCellAnchor>
  <xdr:twoCellAnchor>
    <xdr:from>
      <xdr:col>14</xdr:col>
      <xdr:colOff>438151</xdr:colOff>
      <xdr:row>0</xdr:row>
      <xdr:rowOff>38100</xdr:rowOff>
    </xdr:from>
    <xdr:to>
      <xdr:col>16</xdr:col>
      <xdr:colOff>478951</xdr:colOff>
      <xdr:row>0</xdr:row>
      <xdr:rowOff>326100</xdr:rowOff>
    </xdr:to>
    <xdr:sp macro="" textlink="">
      <xdr:nvSpPr>
        <xdr:cNvPr id="9" name="Rectangle à coins arrondis 2">
          <a:hlinkClick xmlns:r="http://schemas.openxmlformats.org/officeDocument/2006/relationships" r:id="rId4" tooltip="Scorecard"/>
          <a:extLst>
            <a:ext uri="{FF2B5EF4-FFF2-40B4-BE49-F238E27FC236}">
              <a16:creationId xmlns:a16="http://schemas.microsoft.com/office/drawing/2014/main" id="{00000000-0008-0000-3800-000009000000}"/>
            </a:ext>
          </a:extLst>
        </xdr:cNvPr>
        <xdr:cNvSpPr>
          <a:spLocks noChangeArrowheads="1"/>
        </xdr:cNvSpPr>
      </xdr:nvSpPr>
      <xdr:spPr bwMode="auto">
        <a:xfrm>
          <a:off x="881062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12</xdr:col>
      <xdr:colOff>243949</xdr:colOff>
      <xdr:row>0</xdr:row>
      <xdr:rowOff>38100</xdr:rowOff>
    </xdr:from>
    <xdr:to>
      <xdr:col>14</xdr:col>
      <xdr:colOff>284749</xdr:colOff>
      <xdr:row>0</xdr:row>
      <xdr:rowOff>326100</xdr:rowOff>
    </xdr:to>
    <xdr:sp macro="" textlink="">
      <xdr:nvSpPr>
        <xdr:cNvPr id="10" name="Rectangle à coins arrondis 2">
          <a:hlinkClick xmlns:r="http://schemas.openxmlformats.org/officeDocument/2006/relationships" r:id="rId5" tooltip="Instructions"/>
          <a:extLst>
            <a:ext uri="{FF2B5EF4-FFF2-40B4-BE49-F238E27FC236}">
              <a16:creationId xmlns:a16="http://schemas.microsoft.com/office/drawing/2014/main" id="{00000000-0008-0000-3800-00000A000000}"/>
            </a:ext>
          </a:extLst>
        </xdr:cNvPr>
        <xdr:cNvSpPr>
          <a:spLocks noChangeArrowheads="1"/>
        </xdr:cNvSpPr>
      </xdr:nvSpPr>
      <xdr:spPr bwMode="auto">
        <a:xfrm>
          <a:off x="739722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10</xdr:col>
      <xdr:colOff>66675</xdr:colOff>
      <xdr:row>0</xdr:row>
      <xdr:rowOff>38100</xdr:rowOff>
    </xdr:from>
    <xdr:to>
      <xdr:col>12</xdr:col>
      <xdr:colOff>107475</xdr:colOff>
      <xdr:row>0</xdr:row>
      <xdr:rowOff>326100</xdr:rowOff>
    </xdr:to>
    <xdr:sp macro="" textlink="">
      <xdr:nvSpPr>
        <xdr:cNvPr id="11" name="Rectangle à coins arrondis 2">
          <a:hlinkClick xmlns:r="http://schemas.openxmlformats.org/officeDocument/2006/relationships" r:id="rId6" tooltip="Introduction"/>
          <a:extLst>
            <a:ext uri="{FF2B5EF4-FFF2-40B4-BE49-F238E27FC236}">
              <a16:creationId xmlns:a16="http://schemas.microsoft.com/office/drawing/2014/main" id="{00000000-0008-0000-3800-00000B000000}"/>
            </a:ext>
          </a:extLst>
        </xdr:cNvPr>
        <xdr:cNvSpPr>
          <a:spLocks noChangeArrowheads="1"/>
        </xdr:cNvSpPr>
      </xdr:nvSpPr>
      <xdr:spPr bwMode="auto">
        <a:xfrm>
          <a:off x="600075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xdr:from>
      <xdr:col>14</xdr:col>
      <xdr:colOff>9525</xdr:colOff>
      <xdr:row>1</xdr:row>
      <xdr:rowOff>257175</xdr:rowOff>
    </xdr:from>
    <xdr:to>
      <xdr:col>16</xdr:col>
      <xdr:colOff>410325</xdr:colOff>
      <xdr:row>3</xdr:row>
      <xdr:rowOff>9675</xdr:rowOff>
    </xdr:to>
    <xdr:sp macro="" textlink="">
      <xdr:nvSpPr>
        <xdr:cNvPr id="12" name="Rectangle à coins arrondis 2">
          <a:hlinkClick xmlns:r="http://schemas.openxmlformats.org/officeDocument/2006/relationships" r:id="rId7" tooltip="H-4"/>
          <a:extLst>
            <a:ext uri="{FF2B5EF4-FFF2-40B4-BE49-F238E27FC236}">
              <a16:creationId xmlns:a16="http://schemas.microsoft.com/office/drawing/2014/main" id="{00000000-0008-0000-3800-00000C000000}"/>
            </a:ext>
          </a:extLst>
        </xdr:cNvPr>
        <xdr:cNvSpPr>
          <a:spLocks noChangeArrowheads="1"/>
        </xdr:cNvSpPr>
      </xdr:nvSpPr>
      <xdr:spPr bwMode="auto">
        <a:xfrm>
          <a:off x="8572500" y="638175"/>
          <a:ext cx="162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W-1</a:t>
          </a:r>
        </a:p>
      </xdr:txBody>
    </xdr:sp>
    <xdr:clientData/>
  </xdr:twoCellAnchor>
  <xdr:twoCellAnchor>
    <xdr:from>
      <xdr:col>14</xdr:col>
      <xdr:colOff>123825</xdr:colOff>
      <xdr:row>116</xdr:row>
      <xdr:rowOff>9525</xdr:rowOff>
    </xdr:from>
    <xdr:to>
      <xdr:col>16</xdr:col>
      <xdr:colOff>524625</xdr:colOff>
      <xdr:row>117</xdr:row>
      <xdr:rowOff>143025</xdr:rowOff>
    </xdr:to>
    <xdr:sp macro="" textlink="">
      <xdr:nvSpPr>
        <xdr:cNvPr id="13" name="Rectangle à coins arrondis 2">
          <a:hlinkClick xmlns:r="http://schemas.openxmlformats.org/officeDocument/2006/relationships" r:id="rId8" tooltip="H-7"/>
          <a:extLst>
            <a:ext uri="{FF2B5EF4-FFF2-40B4-BE49-F238E27FC236}">
              <a16:creationId xmlns:a16="http://schemas.microsoft.com/office/drawing/2014/main" id="{00000000-0008-0000-3800-00000D000000}"/>
            </a:ext>
          </a:extLst>
        </xdr:cNvPr>
        <xdr:cNvSpPr>
          <a:spLocks noChangeArrowheads="1"/>
        </xdr:cNvSpPr>
      </xdr:nvSpPr>
      <xdr:spPr bwMode="auto">
        <a:xfrm>
          <a:off x="8686800" y="26908125"/>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H-7</a:t>
          </a:r>
        </a:p>
      </xdr:txBody>
    </xdr:sp>
    <xdr:clientData/>
  </xdr:twoCellAnchor>
  <xdr:twoCellAnchor editAs="oneCell">
    <xdr:from>
      <xdr:col>0</xdr:col>
      <xdr:colOff>142874</xdr:colOff>
      <xdr:row>76</xdr:row>
      <xdr:rowOff>9524</xdr:rowOff>
    </xdr:from>
    <xdr:to>
      <xdr:col>6</xdr:col>
      <xdr:colOff>46904</xdr:colOff>
      <xdr:row>84</xdr:row>
      <xdr:rowOff>79199</xdr:rowOff>
    </xdr:to>
    <xdr:pic>
      <xdr:nvPicPr>
        <xdr:cNvPr id="19" name="Picture 18">
          <a:extLst>
            <a:ext uri="{FF2B5EF4-FFF2-40B4-BE49-F238E27FC236}">
              <a16:creationId xmlns:a16="http://schemas.microsoft.com/office/drawing/2014/main" id="{1CE3C23C-0CFB-4E99-A6A7-6E3583D68841}"/>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3506" r="33609" b="16749"/>
        <a:stretch/>
      </xdr:blipFill>
      <xdr:spPr bwMode="auto">
        <a:xfrm>
          <a:off x="142874" y="18954749"/>
          <a:ext cx="3590205" cy="19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542925</xdr:colOff>
      <xdr:row>75</xdr:row>
      <xdr:rowOff>152400</xdr:rowOff>
    </xdr:from>
    <xdr:to>
      <xdr:col>13</xdr:col>
      <xdr:colOff>136926</xdr:colOff>
      <xdr:row>85</xdr:row>
      <xdr:rowOff>47550</xdr:rowOff>
    </xdr:to>
    <xdr:pic>
      <xdr:nvPicPr>
        <xdr:cNvPr id="24" name="Picture 23">
          <a:extLst>
            <a:ext uri="{FF2B5EF4-FFF2-40B4-BE49-F238E27FC236}">
              <a16:creationId xmlns:a16="http://schemas.microsoft.com/office/drawing/2014/main" id="{B5D81A1B-F7EA-43A2-9685-3C20977E974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29100" y="18897600"/>
          <a:ext cx="3861201" cy="21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123825</xdr:colOff>
      <xdr:row>114</xdr:row>
      <xdr:rowOff>76200</xdr:rowOff>
    </xdr:from>
    <xdr:to>
      <xdr:col>16</xdr:col>
      <xdr:colOff>524625</xdr:colOff>
      <xdr:row>115</xdr:row>
      <xdr:rowOff>123975</xdr:rowOff>
    </xdr:to>
    <xdr:sp macro="" textlink="">
      <xdr:nvSpPr>
        <xdr:cNvPr id="17" name="Rectangle à coins arrondis 2">
          <a:hlinkClick xmlns:r="http://schemas.openxmlformats.org/officeDocument/2006/relationships" r:id="rId11" tooltip="E-2"/>
          <a:extLst>
            <a:ext uri="{FF2B5EF4-FFF2-40B4-BE49-F238E27FC236}">
              <a16:creationId xmlns:a16="http://schemas.microsoft.com/office/drawing/2014/main" id="{1437BA68-5234-425F-9F06-11E118FB1A29}"/>
            </a:ext>
          </a:extLst>
        </xdr:cNvPr>
        <xdr:cNvSpPr>
          <a:spLocks noChangeArrowheads="1"/>
        </xdr:cNvSpPr>
      </xdr:nvSpPr>
      <xdr:spPr bwMode="auto">
        <a:xfrm>
          <a:off x="8686800" y="26508075"/>
          <a:ext cx="162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561976</xdr:colOff>
      <xdr:row>0</xdr:row>
      <xdr:rowOff>57150</xdr:rowOff>
    </xdr:from>
    <xdr:to>
      <xdr:col>10</xdr:col>
      <xdr:colOff>707551</xdr:colOff>
      <xdr:row>0</xdr:row>
      <xdr:rowOff>345150</xdr:rowOff>
    </xdr:to>
    <xdr:sp macro="" textlink="">
      <xdr:nvSpPr>
        <xdr:cNvPr id="10" name="Rectangle à coins arrondis 2">
          <a:hlinkClick xmlns:r="http://schemas.openxmlformats.org/officeDocument/2006/relationships" r:id="rId1" tooltip="Scorecard"/>
          <a:extLst>
            <a:ext uri="{FF2B5EF4-FFF2-40B4-BE49-F238E27FC236}">
              <a16:creationId xmlns:a16="http://schemas.microsoft.com/office/drawing/2014/main" id="{00000000-0008-0000-0600-00000A000000}"/>
            </a:ext>
          </a:extLst>
        </xdr:cNvPr>
        <xdr:cNvSpPr>
          <a:spLocks noChangeArrowheads="1"/>
        </xdr:cNvSpPr>
      </xdr:nvSpPr>
      <xdr:spPr bwMode="auto">
        <a:xfrm>
          <a:off x="10134601"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8</xdr:col>
      <xdr:colOff>253474</xdr:colOff>
      <xdr:row>0</xdr:row>
      <xdr:rowOff>57150</xdr:rowOff>
    </xdr:from>
    <xdr:to>
      <xdr:col>9</xdr:col>
      <xdr:colOff>408574</xdr:colOff>
      <xdr:row>0</xdr:row>
      <xdr:rowOff>345150</xdr:rowOff>
    </xdr:to>
    <xdr:sp macro="" textlink="">
      <xdr:nvSpPr>
        <xdr:cNvPr id="11" name="Rectangle à coins arrondis 2">
          <a:hlinkClick xmlns:r="http://schemas.openxmlformats.org/officeDocument/2006/relationships" r:id="rId2" tooltip="Instructions"/>
          <a:extLst>
            <a:ext uri="{FF2B5EF4-FFF2-40B4-BE49-F238E27FC236}">
              <a16:creationId xmlns:a16="http://schemas.microsoft.com/office/drawing/2014/main" id="{00000000-0008-0000-0600-00000B000000}"/>
            </a:ext>
          </a:extLst>
        </xdr:cNvPr>
        <xdr:cNvSpPr>
          <a:spLocks noChangeArrowheads="1"/>
        </xdr:cNvSpPr>
      </xdr:nvSpPr>
      <xdr:spPr bwMode="auto">
        <a:xfrm>
          <a:off x="8721199"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6</xdr:col>
      <xdr:colOff>1009650</xdr:colOff>
      <xdr:row>0</xdr:row>
      <xdr:rowOff>57150</xdr:rowOff>
    </xdr:from>
    <xdr:to>
      <xdr:col>8</xdr:col>
      <xdr:colOff>117000</xdr:colOff>
      <xdr:row>0</xdr:row>
      <xdr:rowOff>345150</xdr:rowOff>
    </xdr:to>
    <xdr:sp macro="" textlink="">
      <xdr:nvSpPr>
        <xdr:cNvPr id="12" name="Rectangle à coins arrondis 2">
          <a:hlinkClick xmlns:r="http://schemas.openxmlformats.org/officeDocument/2006/relationships" r:id="rId3" tooltip="Introduction"/>
          <a:extLst>
            <a:ext uri="{FF2B5EF4-FFF2-40B4-BE49-F238E27FC236}">
              <a16:creationId xmlns:a16="http://schemas.microsoft.com/office/drawing/2014/main" id="{00000000-0008-0000-0600-00000C000000}"/>
            </a:ext>
          </a:extLst>
        </xdr:cNvPr>
        <xdr:cNvSpPr>
          <a:spLocks noChangeArrowheads="1"/>
        </xdr:cNvSpPr>
      </xdr:nvSpPr>
      <xdr:spPr bwMode="auto">
        <a:xfrm>
          <a:off x="7324725"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152400</xdr:colOff>
      <xdr:row>1</xdr:row>
      <xdr:rowOff>19050</xdr:rowOff>
    </xdr:from>
    <xdr:to>
      <xdr:col>1</xdr:col>
      <xdr:colOff>272175</xdr:colOff>
      <xdr:row>2</xdr:row>
      <xdr:rowOff>186450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438150"/>
          <a:ext cx="396000" cy="396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19050</xdr:colOff>
      <xdr:row>0</xdr:row>
      <xdr:rowOff>0</xdr:rowOff>
    </xdr:from>
    <xdr:to>
      <xdr:col>7</xdr:col>
      <xdr:colOff>165600</xdr:colOff>
      <xdr:row>2</xdr:row>
      <xdr:rowOff>52018</xdr:rowOff>
    </xdr:to>
    <xdr:pic>
      <xdr:nvPicPr>
        <xdr:cNvPr id="2" name="Picture 1" descr="\\VGBC_NAS\VGBC_Network\VGBC Shared\Admin and Communication\Artwork\VGBC Artwork Guidelines\VGBC Artwork Guideline Images\VGBC Logo\VGBC_logo_trans.png">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15" r="3298"/>
        <a:stretch/>
      </xdr:blipFill>
      <xdr:spPr bwMode="auto">
        <a:xfrm>
          <a:off x="4486275" y="0"/>
          <a:ext cx="1080000" cy="89021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590551</xdr:colOff>
      <xdr:row>0</xdr:row>
      <xdr:rowOff>57150</xdr:rowOff>
    </xdr:from>
    <xdr:to>
      <xdr:col>9</xdr:col>
      <xdr:colOff>736126</xdr:colOff>
      <xdr:row>0</xdr:row>
      <xdr:rowOff>345150</xdr:rowOff>
    </xdr:to>
    <xdr:sp macro="" textlink="">
      <xdr:nvSpPr>
        <xdr:cNvPr id="7" name="Rectangle à coins arrondis 2">
          <a:hlinkClick xmlns:r="http://schemas.openxmlformats.org/officeDocument/2006/relationships" r:id="rId1" tooltip="Scorecard"/>
          <a:extLst>
            <a:ext uri="{FF2B5EF4-FFF2-40B4-BE49-F238E27FC236}">
              <a16:creationId xmlns:a16="http://schemas.microsoft.com/office/drawing/2014/main" id="{00000000-0008-0000-0700-000007000000}"/>
            </a:ext>
          </a:extLst>
        </xdr:cNvPr>
        <xdr:cNvSpPr>
          <a:spLocks noChangeArrowheads="1"/>
        </xdr:cNvSpPr>
      </xdr:nvSpPr>
      <xdr:spPr bwMode="auto">
        <a:xfrm>
          <a:off x="8905876"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7</xdr:col>
      <xdr:colOff>282049</xdr:colOff>
      <xdr:row>0</xdr:row>
      <xdr:rowOff>57150</xdr:rowOff>
    </xdr:from>
    <xdr:to>
      <xdr:col>8</xdr:col>
      <xdr:colOff>437149</xdr:colOff>
      <xdr:row>0</xdr:row>
      <xdr:rowOff>345150</xdr:rowOff>
    </xdr:to>
    <xdr:sp macro="" textlink="">
      <xdr:nvSpPr>
        <xdr:cNvPr id="8" name="Rectangle à coins arrondis 2">
          <a:hlinkClick xmlns:r="http://schemas.openxmlformats.org/officeDocument/2006/relationships" r:id="rId2" tooltip="Instructions"/>
          <a:extLst>
            <a:ext uri="{FF2B5EF4-FFF2-40B4-BE49-F238E27FC236}">
              <a16:creationId xmlns:a16="http://schemas.microsoft.com/office/drawing/2014/main" id="{00000000-0008-0000-0700-000008000000}"/>
            </a:ext>
          </a:extLst>
        </xdr:cNvPr>
        <xdr:cNvSpPr>
          <a:spLocks noChangeArrowheads="1"/>
        </xdr:cNvSpPr>
      </xdr:nvSpPr>
      <xdr:spPr bwMode="auto">
        <a:xfrm>
          <a:off x="7492474"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5</xdr:col>
      <xdr:colOff>1038225</xdr:colOff>
      <xdr:row>0</xdr:row>
      <xdr:rowOff>57150</xdr:rowOff>
    </xdr:from>
    <xdr:to>
      <xdr:col>7</xdr:col>
      <xdr:colOff>145575</xdr:colOff>
      <xdr:row>0</xdr:row>
      <xdr:rowOff>345150</xdr:rowOff>
    </xdr:to>
    <xdr:sp macro="" textlink="">
      <xdr:nvSpPr>
        <xdr:cNvPr id="9" name="Rectangle à coins arrondis 2">
          <a:hlinkClick xmlns:r="http://schemas.openxmlformats.org/officeDocument/2006/relationships" r:id="rId3" tooltip="Introduction"/>
          <a:extLst>
            <a:ext uri="{FF2B5EF4-FFF2-40B4-BE49-F238E27FC236}">
              <a16:creationId xmlns:a16="http://schemas.microsoft.com/office/drawing/2014/main" id="{00000000-0008-0000-0700-000009000000}"/>
            </a:ext>
          </a:extLst>
        </xdr:cNvPr>
        <xdr:cNvSpPr>
          <a:spLocks noChangeArrowheads="1"/>
        </xdr:cNvSpPr>
      </xdr:nvSpPr>
      <xdr:spPr bwMode="auto">
        <a:xfrm>
          <a:off x="6096000" y="5715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180975</xdr:colOff>
      <xdr:row>1</xdr:row>
      <xdr:rowOff>28575</xdr:rowOff>
    </xdr:from>
    <xdr:to>
      <xdr:col>1</xdr:col>
      <xdr:colOff>300750</xdr:colOff>
      <xdr:row>2</xdr:row>
      <xdr:rowOff>186450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5" y="447675"/>
          <a:ext cx="396000" cy="39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514351</xdr:colOff>
      <xdr:row>0</xdr:row>
      <xdr:rowOff>38100</xdr:rowOff>
    </xdr:from>
    <xdr:to>
      <xdr:col>13</xdr:col>
      <xdr:colOff>555151</xdr:colOff>
      <xdr:row>0</xdr:row>
      <xdr:rowOff>326100</xdr:rowOff>
    </xdr:to>
    <xdr:sp macro="" textlink="">
      <xdr:nvSpPr>
        <xdr:cNvPr id="11" name="Rectangle à coins arrondis 2">
          <a:hlinkClick xmlns:r="http://schemas.openxmlformats.org/officeDocument/2006/relationships" r:id="rId1" tooltip="Scorecard"/>
          <a:extLst>
            <a:ext uri="{FF2B5EF4-FFF2-40B4-BE49-F238E27FC236}">
              <a16:creationId xmlns:a16="http://schemas.microsoft.com/office/drawing/2014/main" id="{00000000-0008-0000-0900-00000B000000}"/>
            </a:ext>
          </a:extLst>
        </xdr:cNvPr>
        <xdr:cNvSpPr>
          <a:spLocks noChangeArrowheads="1"/>
        </xdr:cNvSpPr>
      </xdr:nvSpPr>
      <xdr:spPr bwMode="auto">
        <a:xfrm>
          <a:off x="7972426"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itchFamily="34" charset="0"/>
              <a:cs typeface="Arial" pitchFamily="34" charset="0"/>
            </a:rPr>
            <a:t>Scorecard</a:t>
          </a:r>
        </a:p>
      </xdr:txBody>
    </xdr:sp>
    <xdr:clientData/>
  </xdr:twoCellAnchor>
  <xdr:twoCellAnchor>
    <xdr:from>
      <xdr:col>9</xdr:col>
      <xdr:colOff>529699</xdr:colOff>
      <xdr:row>0</xdr:row>
      <xdr:rowOff>38100</xdr:rowOff>
    </xdr:from>
    <xdr:to>
      <xdr:col>11</xdr:col>
      <xdr:colOff>360949</xdr:colOff>
      <xdr:row>0</xdr:row>
      <xdr:rowOff>326100</xdr:rowOff>
    </xdr:to>
    <xdr:sp macro="" textlink="">
      <xdr:nvSpPr>
        <xdr:cNvPr id="12" name="Rectangle à coins arrondis 2">
          <a:hlinkClick xmlns:r="http://schemas.openxmlformats.org/officeDocument/2006/relationships" r:id="rId2" tooltip="Instructions"/>
          <a:extLst>
            <a:ext uri="{FF2B5EF4-FFF2-40B4-BE49-F238E27FC236}">
              <a16:creationId xmlns:a16="http://schemas.microsoft.com/office/drawing/2014/main" id="{00000000-0008-0000-0900-00000C000000}"/>
            </a:ext>
          </a:extLst>
        </xdr:cNvPr>
        <xdr:cNvSpPr>
          <a:spLocks noChangeArrowheads="1"/>
        </xdr:cNvSpPr>
      </xdr:nvSpPr>
      <xdr:spPr bwMode="auto">
        <a:xfrm>
          <a:off x="6559024"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Instructions</a:t>
          </a:r>
        </a:p>
      </xdr:txBody>
    </xdr:sp>
    <xdr:clientData/>
  </xdr:twoCellAnchor>
  <xdr:twoCellAnchor>
    <xdr:from>
      <xdr:col>7</xdr:col>
      <xdr:colOff>495300</xdr:colOff>
      <xdr:row>0</xdr:row>
      <xdr:rowOff>38100</xdr:rowOff>
    </xdr:from>
    <xdr:to>
      <xdr:col>9</xdr:col>
      <xdr:colOff>393225</xdr:colOff>
      <xdr:row>0</xdr:row>
      <xdr:rowOff>326100</xdr:rowOff>
    </xdr:to>
    <xdr:sp macro="" textlink="">
      <xdr:nvSpPr>
        <xdr:cNvPr id="13" name="Rectangle à coins arrondis 2">
          <a:hlinkClick xmlns:r="http://schemas.openxmlformats.org/officeDocument/2006/relationships" r:id="rId3" tooltip="Introduction"/>
          <a:extLst>
            <a:ext uri="{FF2B5EF4-FFF2-40B4-BE49-F238E27FC236}">
              <a16:creationId xmlns:a16="http://schemas.microsoft.com/office/drawing/2014/main" id="{00000000-0008-0000-0900-00000D000000}"/>
            </a:ext>
          </a:extLst>
        </xdr:cNvPr>
        <xdr:cNvSpPr>
          <a:spLocks noChangeArrowheads="1"/>
        </xdr:cNvSpPr>
      </xdr:nvSpPr>
      <xdr:spPr bwMode="auto">
        <a:xfrm>
          <a:off x="5162550" y="38100"/>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84806"/>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200025</xdr:colOff>
      <xdr:row>1</xdr:row>
      <xdr:rowOff>19050</xdr:rowOff>
    </xdr:from>
    <xdr:to>
      <xdr:col>1</xdr:col>
      <xdr:colOff>215025</xdr:colOff>
      <xdr:row>2</xdr:row>
      <xdr:rowOff>186450</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400050"/>
          <a:ext cx="396000" cy="39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GBC-HP\Documents\MEGA\LOTUS%20Systems\LOTUS%20Small%20Buildings\01%20-%20Pilot%20version\2_%20Progressive%20Updates\LOTUS%20Small%20Buildings%20Pilot%20%20-%20User%20Tool%20-%2016.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knowledgments"/>
      <sheetName val="Introduction"/>
      <sheetName val="Instructions"/>
      <sheetName val="Recommendations"/>
      <sheetName val="Project information"/>
      <sheetName val="Application Form"/>
      <sheetName val="Pre-assessment checklist"/>
      <sheetName val="Certification stage checklist "/>
      <sheetName val="Scorecard"/>
      <sheetName val="Graphical Results"/>
      <sheetName val="Energy"/>
      <sheetName val="E-1 Passive Design"/>
      <sheetName val="E-2 Building Envelope"/>
      <sheetName val="E-3 Building Cooling"/>
      <sheetName val="E-4 Artificial Lighting"/>
      <sheetName val="E-5 Water Heating"/>
      <sheetName val="E-5 Energy Efficient Appliances"/>
      <sheetName val="E-6 Energy Monitor"/>
      <sheetName val="Energy BPC"/>
      <sheetName val="Water"/>
      <sheetName val="W-1 Water Efficient Fixtures"/>
      <sheetName val="W-2 Water Efficient Landscaping"/>
      <sheetName val="W-3 Drinking Water "/>
      <sheetName val="Water BPC"/>
      <sheetName val="Materials"/>
      <sheetName val="M-1 Structure Materials"/>
      <sheetName val="M-2 Non-structural Walls"/>
      <sheetName val="M-3 Windows and Doors"/>
      <sheetName val="M-4 Flooring Materials"/>
      <sheetName val="M-5 Roofing Materials"/>
      <sheetName val="M-6 Furniture"/>
      <sheetName val="Health &amp; Comfort"/>
      <sheetName val="H-1 Fresh Air Supply"/>
      <sheetName val="H-2 Ventilation in wet areas"/>
      <sheetName val="H-3 CO2 Monitoring"/>
      <sheetName val="H-4 Low-VOC Emissions"/>
      <sheetName val="H-5 Daylighting"/>
      <sheetName val="H-6 External Views"/>
      <sheetName val="H&amp;C BPC"/>
      <sheetName val="Local Environment"/>
      <sheetName val="LE-1 Site Selection"/>
      <sheetName val="LE-2 Site design"/>
      <sheetName val="LE-3 Vegetation"/>
      <sheetName val="LE-4 Heat Island Effect"/>
      <sheetName val="LE-5 Storm Water Runoff"/>
      <sheetName val="LE-6 Flood Risk Mitigation"/>
      <sheetName val="LE-7 Refrigerants"/>
      <sheetName val="LE-8 Recycling Storage Area"/>
      <sheetName val="Community &amp; Management"/>
      <sheetName val="CM-1 Design Stage"/>
      <sheetName val="CM-2 Construction Management"/>
      <sheetName val="CM-3 Operational Management"/>
      <sheetName val="CM-4 Access for PWD"/>
      <sheetName val="CM BPC"/>
      <sheetName val="Innovation"/>
      <sheetName val="Inn-1 Exceptional Performance "/>
      <sheetName val="Inn-2 Innovative Techniques"/>
      <sheetName val="Additional information"/>
      <sheetName val="Glossary"/>
      <sheetName val="Resources"/>
      <sheetName val="Rainfall Data"/>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59">
          <cell r="O159" t="str">
            <v>Select</v>
          </cell>
        </row>
      </sheetData>
      <sheetData sheetId="15">
        <row r="76">
          <cell r="M76" t="str">
            <v>Select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0">
          <cell r="P70" t="str">
            <v>Select</v>
          </cell>
        </row>
        <row r="71">
          <cell r="P71" t="str">
            <v>1. Hotels, motels</v>
          </cell>
        </row>
        <row r="72">
          <cell r="P72" t="str">
            <v>2. Laundry shops</v>
          </cell>
        </row>
        <row r="73">
          <cell r="P73" t="str">
            <v>3. Restaurants, coffee shops</v>
          </cell>
        </row>
        <row r="74">
          <cell r="P74" t="str">
            <v>4. Theaters</v>
          </cell>
        </row>
        <row r="75">
          <cell r="P75" t="str">
            <v>5. Educational buildings</v>
          </cell>
        </row>
        <row r="76">
          <cell r="P76" t="str">
            <v>6. Hospitals, clinics, retirement homes</v>
          </cell>
        </row>
        <row r="77">
          <cell r="P77" t="str">
            <v>7. Sports and Entertainment</v>
          </cell>
        </row>
        <row r="78">
          <cell r="P78" t="str">
            <v>8. Public spaces</v>
          </cell>
        </row>
        <row r="79">
          <cell r="P79" t="str">
            <v>9. Special retail spaces</v>
          </cell>
        </row>
        <row r="80">
          <cell r="P80" t="str">
            <v>10. Bus station, train station</v>
          </cell>
        </row>
        <row r="81">
          <cell r="P81" t="str">
            <v>11. Administrative buildings</v>
          </cell>
        </row>
        <row r="82">
          <cell r="P82" t="str">
            <v>12. Residential buildings</v>
          </cell>
        </row>
      </sheetData>
      <sheetData sheetId="34"/>
      <sheetData sheetId="35"/>
      <sheetData sheetId="36"/>
      <sheetData sheetId="37"/>
      <sheetData sheetId="38"/>
      <sheetData sheetId="39"/>
      <sheetData sheetId="40"/>
      <sheetData sheetId="41">
        <row r="101">
          <cell r="O101" t="str">
            <v>Select</v>
          </cell>
        </row>
        <row r="102">
          <cell r="O102" t="str">
            <v xml:space="preserve">Bank </v>
          </cell>
        </row>
        <row r="103">
          <cell r="O103" t="str">
            <v xml:space="preserve">Beauty/Hairdresser </v>
          </cell>
        </row>
        <row r="104">
          <cell r="O104" t="str">
            <v xml:space="preserve">Cleaners </v>
          </cell>
        </row>
        <row r="105">
          <cell r="O105" t="str">
            <v xml:space="preserve">Community centre </v>
          </cell>
        </row>
        <row r="106">
          <cell r="O106" t="str">
            <v>Convenience grocery</v>
          </cell>
        </row>
        <row r="107">
          <cell r="O107" t="str">
            <v>Day care</v>
          </cell>
        </row>
        <row r="108">
          <cell r="O108" t="str">
            <v>Electronic /Vehicle Repair Shops</v>
          </cell>
        </row>
        <row r="109">
          <cell r="O109" t="str">
            <v>Fitness center/Sport center/Swimming pool</v>
          </cell>
        </row>
        <row r="110">
          <cell r="O110" t="str">
            <v xml:space="preserve">Fire station </v>
          </cell>
        </row>
        <row r="111">
          <cell r="O111" t="str">
            <v xml:space="preserve">Petrol Station </v>
          </cell>
        </row>
        <row r="112">
          <cell r="O112" t="str">
            <v xml:space="preserve">Laundry </v>
          </cell>
        </row>
        <row r="113">
          <cell r="O113" t="str">
            <v xml:space="preserve">Library </v>
          </cell>
        </row>
        <row r="114">
          <cell r="O114" t="str">
            <v xml:space="preserve">Hospital/Clinic/Dental/Optician </v>
          </cell>
        </row>
        <row r="115">
          <cell r="O115" t="str">
            <v xml:space="preserve">Museum </v>
          </cell>
        </row>
        <row r="116">
          <cell r="O116" t="str">
            <v xml:space="preserve">Playground/Park </v>
          </cell>
        </row>
        <row r="117">
          <cell r="O117" t="str">
            <v>Pharmacy</v>
          </cell>
        </row>
        <row r="118">
          <cell r="O118" t="str">
            <v xml:space="preserve">Place of worship </v>
          </cell>
        </row>
        <row r="119">
          <cell r="O119" t="str">
            <v>Police station</v>
          </cell>
        </row>
        <row r="120">
          <cell r="O120" t="str">
            <v xml:space="preserve">Post Office </v>
          </cell>
        </row>
        <row r="121">
          <cell r="O121" t="str">
            <v xml:space="preserve">ATM </v>
          </cell>
        </row>
        <row r="122">
          <cell r="O122" t="str">
            <v>Restaurant/Coffee shop</v>
          </cell>
        </row>
        <row r="123">
          <cell r="O123" t="str">
            <v>School</v>
          </cell>
        </row>
        <row r="124">
          <cell r="O124" t="str">
            <v>Senior care facility</v>
          </cell>
        </row>
        <row r="125">
          <cell r="O125" t="str">
            <v>Supermarket</v>
          </cell>
        </row>
        <row r="126">
          <cell r="O126" t="str">
            <v>Art/Entertainment center</v>
          </cell>
        </row>
        <row r="127">
          <cell r="O127" t="str">
            <v>Bookstore</v>
          </cell>
        </row>
        <row r="128">
          <cell r="O128" t="str">
            <v>Wet market</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4">
          <cell r="A4" t="str">
            <v>Select</v>
          </cell>
        </row>
        <row r="5">
          <cell r="A5" t="str">
            <v>Ba Vì</v>
          </cell>
        </row>
        <row r="6">
          <cell r="A6" t="str">
            <v>Bắc Giang</v>
          </cell>
        </row>
        <row r="7">
          <cell r="A7" t="str">
            <v>Bắc Kạn</v>
          </cell>
        </row>
        <row r="8">
          <cell r="A8" t="str">
            <v>BuônMaThuật</v>
          </cell>
        </row>
        <row r="9">
          <cell r="A9" t="str">
            <v>Cà Mau</v>
          </cell>
        </row>
        <row r="10">
          <cell r="A10" t="str">
            <v>Cam Ranh</v>
          </cell>
        </row>
        <row r="11">
          <cell r="A11" t="str">
            <v>Cần Thơ</v>
          </cell>
        </row>
        <row r="12">
          <cell r="A12" t="str">
            <v xml:space="preserve">Càng Long </v>
          </cell>
        </row>
        <row r="13">
          <cell r="A13" t="str">
            <v>Cao Bằng</v>
          </cell>
        </row>
        <row r="14">
          <cell r="A14" t="str">
            <v>Cao Lãnh</v>
          </cell>
        </row>
        <row r="15">
          <cell r="A15" t="str">
            <v>Chấu Đốc</v>
          </cell>
        </row>
        <row r="16">
          <cell r="A16" t="str">
            <v>Côn Sơn</v>
          </cell>
        </row>
        <row r="17">
          <cell r="A17" t="str">
            <v>Cửa Ông</v>
          </cell>
        </row>
        <row r="18">
          <cell r="A18" t="str">
            <v>Đà Lạt</v>
          </cell>
        </row>
        <row r="19">
          <cell r="A19" t="str">
            <v>Đà Nẵng</v>
          </cell>
        </row>
        <row r="20">
          <cell r="A20" t="str">
            <v>Điện Biên</v>
          </cell>
        </row>
        <row r="21">
          <cell r="A21" t="str">
            <v xml:space="preserve">Đông Hà </v>
          </cell>
        </row>
        <row r="22">
          <cell r="A22" t="str">
            <v>Đồng Hới</v>
          </cell>
        </row>
        <row r="23">
          <cell r="A23" t="str">
            <v>Hà Đông</v>
          </cell>
        </row>
        <row r="24">
          <cell r="A24" t="str">
            <v>Hà Giang</v>
          </cell>
        </row>
        <row r="25">
          <cell r="A25" t="str">
            <v>Hà Nội</v>
          </cell>
        </row>
        <row r="26">
          <cell r="A26" t="str">
            <v>Hà Tĩnh</v>
          </cell>
        </row>
        <row r="27">
          <cell r="A27" t="str">
            <v>Hải Dương</v>
          </cell>
        </row>
        <row r="28">
          <cell r="A28" t="str">
            <v>Hoà Bình</v>
          </cell>
        </row>
        <row r="29">
          <cell r="A29" t="str">
            <v>Hoàng Sa</v>
          </cell>
        </row>
        <row r="30">
          <cell r="A30" t="str">
            <v>Hòn Gai</v>
          </cell>
        </row>
        <row r="31">
          <cell r="A31" t="str">
            <v>Huế</v>
          </cell>
        </row>
        <row r="32">
          <cell r="A32" t="str">
            <v>Hưng Yên</v>
          </cell>
        </row>
        <row r="33">
          <cell r="A33" t="str">
            <v>Kon Tum</v>
          </cell>
        </row>
        <row r="34">
          <cell r="A34" t="str">
            <v>Lai Châu</v>
          </cell>
        </row>
        <row r="35">
          <cell r="A35" t="str">
            <v>Lạng Sơn</v>
          </cell>
        </row>
        <row r="36">
          <cell r="A36" t="str">
            <v>Lào Cai</v>
          </cell>
        </row>
        <row r="37">
          <cell r="A37" t="str">
            <v>Mộc Hoá</v>
          </cell>
        </row>
        <row r="38">
          <cell r="A38" t="str">
            <v>Mỹ Tho</v>
          </cell>
        </row>
        <row r="39">
          <cell r="A39" t="str">
            <v>Nam Định</v>
          </cell>
        </row>
        <row r="40">
          <cell r="A40" t="str">
            <v>Nha Trang</v>
          </cell>
        </row>
        <row r="41">
          <cell r="A41" t="str">
            <v>Ninh Bình</v>
          </cell>
        </row>
        <row r="42">
          <cell r="A42" t="str">
            <v>Phan Thiết</v>
          </cell>
        </row>
        <row r="43">
          <cell r="A43" t="str">
            <v>Phủ Liễn</v>
          </cell>
        </row>
        <row r="44">
          <cell r="A44" t="str">
            <v>Phú Quốc</v>
          </cell>
        </row>
        <row r="45">
          <cell r="A45" t="str">
            <v>Phước Long</v>
          </cell>
        </row>
        <row r="46">
          <cell r="A46" t="str">
            <v>Plâycu</v>
          </cell>
        </row>
        <row r="47">
          <cell r="A47" t="str">
            <v>Quảng Ngãi</v>
          </cell>
        </row>
        <row r="48">
          <cell r="A48" t="str">
            <v>Quy Nhơn</v>
          </cell>
        </row>
        <row r="49">
          <cell r="A49" t="str">
            <v>Rạch Giá</v>
          </cell>
        </row>
        <row r="50">
          <cell r="A50" t="str">
            <v>Sa Pa</v>
          </cell>
        </row>
        <row r="51">
          <cell r="A51" t="str">
            <v>Sóc Trăng</v>
          </cell>
        </row>
        <row r="52">
          <cell r="A52" t="str">
            <v>Sơn La</v>
          </cell>
        </row>
        <row r="53">
          <cell r="A53" t="str">
            <v>Sơn Tây</v>
          </cell>
        </row>
        <row r="54">
          <cell r="A54" t="str">
            <v>Tam Đảo</v>
          </cell>
        </row>
        <row r="55">
          <cell r="A55" t="str">
            <v>Tân Sơn Nhất</v>
          </cell>
        </row>
        <row r="56">
          <cell r="A56" t="str">
            <v>Tây Ninh</v>
          </cell>
        </row>
        <row r="57">
          <cell r="A57" t="str">
            <v>Thái Bình</v>
          </cell>
        </row>
        <row r="58">
          <cell r="A58" t="str">
            <v>Thái Nguyên</v>
          </cell>
        </row>
        <row r="59">
          <cell r="A59" t="str">
            <v>Thanh Hóa</v>
          </cell>
        </row>
        <row r="60">
          <cell r="A60" t="str">
            <v>Trường Sa</v>
          </cell>
        </row>
        <row r="61">
          <cell r="A61" t="str">
            <v>Tuy Hòa</v>
          </cell>
        </row>
        <row r="62">
          <cell r="A62" t="str">
            <v>Tuyên Quang</v>
          </cell>
        </row>
        <row r="63">
          <cell r="A63" t="str">
            <v>Uông Bí</v>
          </cell>
        </row>
        <row r="64">
          <cell r="A64" t="str">
            <v>Việt Trì</v>
          </cell>
        </row>
        <row r="65">
          <cell r="A65" t="str">
            <v>Vinh</v>
          </cell>
        </row>
        <row r="66">
          <cell r="A66" t="str">
            <v>Vĩnh Yên</v>
          </cell>
        </row>
        <row r="67">
          <cell r="A67" t="str">
            <v>Vũng Tàu</v>
          </cell>
        </row>
        <row r="68">
          <cell r="A68" t="str">
            <v>Yên Bái</v>
          </cell>
        </row>
      </sheetData>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namajsc.com.vn/" TargetMode="External"/><Relationship Id="rId1" Type="http://schemas.openxmlformats.org/officeDocument/2006/relationships/hyperlink" Target="http://www.palm.vn/"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ertification@vgbc.vn"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I166"/>
  <sheetViews>
    <sheetView topLeftCell="A43" workbookViewId="0">
      <selection activeCell="A48" sqref="A48:A50"/>
    </sheetView>
  </sheetViews>
  <sheetFormatPr defaultColWidth="9.140625" defaultRowHeight="15" x14ac:dyDescent="0.25"/>
  <cols>
    <col min="1" max="1" width="15.42578125" customWidth="1"/>
    <col min="2" max="4" width="8.42578125" customWidth="1"/>
    <col min="5" max="5" width="80.7109375" hidden="1" customWidth="1"/>
    <col min="6" max="6" width="80.7109375" customWidth="1"/>
    <col min="7" max="7" width="13.140625" customWidth="1"/>
  </cols>
  <sheetData>
    <row r="1" spans="1:7" ht="20.25" customHeight="1" x14ac:dyDescent="0.25">
      <c r="B1" s="1365" t="s">
        <v>533</v>
      </c>
      <c r="C1" s="1365"/>
      <c r="D1" s="1365"/>
      <c r="E1" s="367" t="s">
        <v>479</v>
      </c>
      <c r="F1" s="367" t="s">
        <v>478</v>
      </c>
      <c r="G1" s="606" t="s">
        <v>534</v>
      </c>
    </row>
    <row r="2" spans="1:7" ht="33.75" customHeight="1" x14ac:dyDescent="0.25">
      <c r="A2" s="1340" t="s">
        <v>1725</v>
      </c>
      <c r="B2" s="1339" t="s">
        <v>535</v>
      </c>
      <c r="C2" s="1339"/>
      <c r="D2" s="1339"/>
      <c r="E2" s="1036" t="s">
        <v>923</v>
      </c>
      <c r="F2" s="1036" t="s">
        <v>1531</v>
      </c>
      <c r="G2" t="str">
        <f>IF('Project information'!$C$7="Pre-assessment stage",Submittals!B2,Submittals!F2)</f>
        <v>• Evidence showing the occupied spaces that are not served by any air-conditioning system such as photographs, plans, etc.</v>
      </c>
    </row>
    <row r="3" spans="1:7" ht="33.75" customHeight="1" x14ac:dyDescent="0.25">
      <c r="A3" s="1342"/>
      <c r="B3" s="1339" t="s">
        <v>535</v>
      </c>
      <c r="C3" s="1339"/>
      <c r="D3" s="1339"/>
      <c r="E3" s="1036" t="s">
        <v>924</v>
      </c>
      <c r="F3" s="1036" t="s">
        <v>1958</v>
      </c>
      <c r="G3" t="str">
        <f>IF('Project information'!$C$7="Pre-assessment stage",Submittals!B3,Submittals!F3)</f>
        <v>• For occupied spaces equipped with fans, evidence showing the fans installed such as photographs, plans, etc.</v>
      </c>
    </row>
    <row r="4" spans="1:7" ht="24.75" customHeight="1" x14ac:dyDescent="0.25">
      <c r="A4" s="1341"/>
      <c r="B4" s="1339" t="s">
        <v>535</v>
      </c>
      <c r="C4" s="1339"/>
      <c r="D4" s="1339"/>
      <c r="E4" s="1036" t="s">
        <v>924</v>
      </c>
      <c r="F4" s="1036" t="s">
        <v>1726</v>
      </c>
      <c r="G4" t="str">
        <f>IF('Project information'!$C$7="Pre-assessment stage",Submittals!B4,Submittals!F4)</f>
        <v>• For occupied spaces with cross ventilation, provide evidence required in Performance Path.</v>
      </c>
    </row>
    <row r="5" spans="1:7" ht="24.75" customHeight="1" x14ac:dyDescent="0.25">
      <c r="A5" s="1340" t="s">
        <v>1757</v>
      </c>
      <c r="B5" s="1339" t="s">
        <v>535</v>
      </c>
      <c r="C5" s="1339"/>
      <c r="D5" s="1339"/>
      <c r="E5" s="368" t="s">
        <v>923</v>
      </c>
      <c r="F5" s="368" t="s">
        <v>1962</v>
      </c>
      <c r="G5" t="str">
        <f>IF('Project information'!$C$7="Pre-assessment stage",Submittals!B5,Submittals!F5)</f>
        <v>• Plans, elevations and sections marking all operable wall and roof openings</v>
      </c>
    </row>
    <row r="6" spans="1:7" ht="24.75" customHeight="1" x14ac:dyDescent="0.25">
      <c r="A6" s="1341"/>
      <c r="B6" s="1339" t="s">
        <v>535</v>
      </c>
      <c r="C6" s="1339"/>
      <c r="D6" s="1339"/>
      <c r="E6" s="368" t="s">
        <v>924</v>
      </c>
      <c r="F6" s="368" t="s">
        <v>1963</v>
      </c>
      <c r="G6" t="str">
        <f>IF('Project information'!$C$7="Pre-assessment stage",Submittals!B6,Submittals!F6)</f>
        <v>• Window schedule indicating the number, location and size of all operable wall and roof openings</v>
      </c>
    </row>
    <row r="7" spans="1:7" ht="29.25" customHeight="1" x14ac:dyDescent="0.25">
      <c r="A7" s="1340" t="s">
        <v>1571</v>
      </c>
      <c r="B7" s="1339" t="s">
        <v>535</v>
      </c>
      <c r="C7" s="1339"/>
      <c r="D7" s="1339"/>
      <c r="E7" s="891" t="s">
        <v>925</v>
      </c>
      <c r="F7" s="891" t="s">
        <v>2201</v>
      </c>
      <c r="G7" t="str">
        <f>IF('Project information'!$C$7="Pre-assessment stage",Submittals!B7,Submittals!F7)</f>
        <v>• Technical data and/or photographs showing the number of stars under VNEEP labelling and the CSPF value of the air-conditioning units installed</v>
      </c>
    </row>
    <row r="8" spans="1:7" ht="24.75" customHeight="1" x14ac:dyDescent="0.25">
      <c r="A8" s="1342"/>
      <c r="B8" s="1339" t="s">
        <v>535</v>
      </c>
      <c r="C8" s="1339"/>
      <c r="D8" s="1339"/>
      <c r="E8" s="891" t="s">
        <v>935</v>
      </c>
      <c r="F8" s="891" t="s">
        <v>1572</v>
      </c>
      <c r="G8" t="str">
        <f>IF('Project information'!$C$7="Pre-assessment stage",Submittals!B8,Submittals!F8)</f>
        <v>• Evidence of the air-conditioning units were installed such as photographs, invoices, etc.</v>
      </c>
    </row>
    <row r="9" spans="1:7" ht="29.25" customHeight="1" x14ac:dyDescent="0.25">
      <c r="A9" s="1340" t="s">
        <v>1570</v>
      </c>
      <c r="B9" s="1339" t="s">
        <v>535</v>
      </c>
      <c r="C9" s="1339"/>
      <c r="D9" s="1339"/>
      <c r="E9" s="593" t="s">
        <v>925</v>
      </c>
      <c r="F9" s="593" t="s">
        <v>2472</v>
      </c>
      <c r="G9" t="str">
        <f>IF('Project information'!$C$7="Pre-assessment stage",Submittals!B9,Submittals!F9)</f>
        <v>• Schedule of all the HVAC equipment installed indicating CSPF/COP values</v>
      </c>
    </row>
    <row r="10" spans="1:7" ht="24.75" customHeight="1" x14ac:dyDescent="0.25">
      <c r="A10" s="1342"/>
      <c r="B10" s="1339" t="s">
        <v>535</v>
      </c>
      <c r="C10" s="1339"/>
      <c r="D10" s="1339"/>
      <c r="E10" s="628" t="s">
        <v>935</v>
      </c>
      <c r="F10" s="628" t="s">
        <v>1960</v>
      </c>
      <c r="G10" t="str">
        <f>IF('Project information'!$C$7="Pre-assessment stage",Submittals!B10,Submittals!F10)</f>
        <v xml:space="preserve">• Schematic drawings of the HVAC system indicating location of all the equipment </v>
      </c>
    </row>
    <row r="11" spans="1:7" ht="24.75" customHeight="1" x14ac:dyDescent="0.25">
      <c r="A11" s="1341"/>
      <c r="B11" s="1339" t="s">
        <v>535</v>
      </c>
      <c r="C11" s="1339"/>
      <c r="D11" s="1339"/>
      <c r="E11" s="593" t="s">
        <v>51</v>
      </c>
      <c r="F11" s="593" t="s">
        <v>2473</v>
      </c>
      <c r="G11" t="str">
        <f>IF('Project information'!$C$7="Pre-assessment stage",Submittals!B11,Submittals!F11)</f>
        <v>• Manufacturer's data of the HVAC equipment installed indicating CSPF/COP values</v>
      </c>
    </row>
    <row r="12" spans="1:7" ht="29.25" customHeight="1" x14ac:dyDescent="0.25">
      <c r="A12" s="1340" t="s">
        <v>849</v>
      </c>
      <c r="B12" s="1339" t="s">
        <v>535</v>
      </c>
      <c r="C12" s="1339"/>
      <c r="D12" s="1339"/>
      <c r="E12" s="593" t="s">
        <v>929</v>
      </c>
      <c r="F12" s="593" t="s">
        <v>1959</v>
      </c>
      <c r="G12" t="str">
        <f>IF('Project information'!$C$7="Pre-assessment stage",Submittals!B12,Submittals!F12)</f>
        <v xml:space="preserve">• Schematic drawings of the HVAC system indicating location of thermostats and diffusers </v>
      </c>
    </row>
    <row r="13" spans="1:7" ht="26.25" customHeight="1" x14ac:dyDescent="0.25">
      <c r="A13" s="1341"/>
      <c r="B13" s="1339" t="s">
        <v>535</v>
      </c>
      <c r="C13" s="1339"/>
      <c r="D13" s="1339"/>
      <c r="E13" s="628" t="s">
        <v>51</v>
      </c>
      <c r="F13" s="376" t="s">
        <v>936</v>
      </c>
      <c r="G13" t="str">
        <f>IF('Project information'!$C$7="Pre-assessment stage",Submittals!B13,Submittals!F13)</f>
        <v>• Evidence showing that appropriate zoning has been realised such as photographs, commissioning records, etc.</v>
      </c>
    </row>
    <row r="14" spans="1:7" ht="39.75" customHeight="1" x14ac:dyDescent="0.25">
      <c r="A14" s="1340" t="s">
        <v>932</v>
      </c>
      <c r="B14" s="1339" t="s">
        <v>535</v>
      </c>
      <c r="C14" s="1339"/>
      <c r="D14" s="1339"/>
      <c r="E14" s="628" t="s">
        <v>934</v>
      </c>
      <c r="F14" s="593" t="s">
        <v>1957</v>
      </c>
      <c r="G14" t="str">
        <f>IF('Project information'!$C$7="Pre-assessment stage",Submittals!B14,Submittals!F14)</f>
        <v>• Schedule of all the HVAC equipment installed including equipment ensuring better part-load systems efficiency</v>
      </c>
    </row>
    <row r="15" spans="1:7" ht="24.75" customHeight="1" x14ac:dyDescent="0.25">
      <c r="A15" s="1342"/>
      <c r="B15" s="1339" t="s">
        <v>535</v>
      </c>
      <c r="C15" s="1339"/>
      <c r="D15" s="1339"/>
      <c r="E15" s="628" t="s">
        <v>935</v>
      </c>
      <c r="F15" s="628" t="s">
        <v>1960</v>
      </c>
      <c r="G15" t="str">
        <f>IF('Project information'!$C$7="Pre-assessment stage",Submittals!B15,Submittals!F15)</f>
        <v xml:space="preserve">• Schematic drawings of the HVAC system indicating location of all the equipment </v>
      </c>
    </row>
    <row r="16" spans="1:7" ht="24.75" customHeight="1" x14ac:dyDescent="0.25">
      <c r="A16" s="1341"/>
      <c r="B16" s="1339" t="s">
        <v>535</v>
      </c>
      <c r="C16" s="1339"/>
      <c r="D16" s="1339"/>
      <c r="E16" s="628" t="s">
        <v>51</v>
      </c>
      <c r="F16" s="628" t="s">
        <v>1970</v>
      </c>
      <c r="G16" t="str">
        <f>IF('Project information'!$C$7="Pre-assessment stage",Submittals!B16,Submittals!F16)</f>
        <v>• Evidence showing the equipment installed to ensure better part-load systems efficiency such as photographs, commissioning records, etc.</v>
      </c>
    </row>
    <row r="17" spans="1:9" ht="24.75" customHeight="1" x14ac:dyDescent="0.25">
      <c r="A17" s="1340" t="s">
        <v>933</v>
      </c>
      <c r="B17" s="1339" t="s">
        <v>535</v>
      </c>
      <c r="C17" s="1339"/>
      <c r="D17" s="1339"/>
      <c r="E17" s="722" t="s">
        <v>1217</v>
      </c>
      <c r="F17" s="722" t="s">
        <v>1961</v>
      </c>
      <c r="G17" t="str">
        <f>IF('Project information'!$C$7="Pre-assessment stage",Submittals!B17,Submittals!F17)</f>
        <v xml:space="preserve">• Schematic drawings of the HVAC system indicating location of all the demand controls </v>
      </c>
    </row>
    <row r="18" spans="1:9" ht="24.75" customHeight="1" x14ac:dyDescent="0.25">
      <c r="A18" s="1341"/>
      <c r="B18" s="1339" t="s">
        <v>535</v>
      </c>
      <c r="C18" s="1339"/>
      <c r="D18" s="1339"/>
      <c r="E18" s="722" t="s">
        <v>1218</v>
      </c>
      <c r="F18" s="376" t="s">
        <v>1219</v>
      </c>
      <c r="G18" t="str">
        <f>IF('Project information'!$C$7="Pre-assessment stage",Submittals!B18,Submittals!F18)</f>
        <v>• Evidence showing that the controls have been installed and work effectively such as photographs, commissioning records, etc.</v>
      </c>
    </row>
    <row r="19" spans="1:9" ht="24.75" customHeight="1" x14ac:dyDescent="0.25">
      <c r="A19" s="1340" t="s">
        <v>859</v>
      </c>
      <c r="B19" s="1339" t="s">
        <v>535</v>
      </c>
      <c r="C19" s="1339"/>
      <c r="D19" s="1339"/>
      <c r="E19" s="600"/>
      <c r="F19" s="600" t="s">
        <v>1966</v>
      </c>
      <c r="G19" t="str">
        <f>IF('Project information'!$C$7="Pre-assessment stage",Submittals!B19,Submittals!F19)</f>
        <v>• Schematic drawings of the HVAC system indicating the energy recovery ventilation systems</v>
      </c>
    </row>
    <row r="20" spans="1:9" ht="31.5" customHeight="1" x14ac:dyDescent="0.25">
      <c r="A20" s="1341"/>
      <c r="B20" s="1339" t="s">
        <v>535</v>
      </c>
      <c r="C20" s="1339"/>
      <c r="D20" s="1339"/>
      <c r="E20" s="600"/>
      <c r="F20" s="1163" t="s">
        <v>1969</v>
      </c>
      <c r="G20" t="str">
        <f>IF('Project information'!$C$7="Pre-assessment stage",Submittals!B20,Submittals!F20)</f>
        <v>• Evidence showing the energy recovery ventilation systems installed such as photographs, commissioning records, etc.</v>
      </c>
    </row>
    <row r="21" spans="1:9" ht="24.75" customHeight="1" x14ac:dyDescent="0.25">
      <c r="A21" s="1351" t="s">
        <v>859</v>
      </c>
      <c r="B21" s="1353" t="s">
        <v>535</v>
      </c>
      <c r="C21" s="1354"/>
      <c r="D21" s="1355"/>
      <c r="E21" s="762"/>
      <c r="F21" s="1163" t="s">
        <v>1967</v>
      </c>
      <c r="G21" t="str">
        <f>IF('Project information'!$C$7="Pre-assessment stage",Submittals!B21,Submittals!F21)</f>
        <v>• Schematic drawings of the HVAC system indicating the radiant cooling system</v>
      </c>
    </row>
    <row r="22" spans="1:9" ht="24.75" customHeight="1" x14ac:dyDescent="0.25">
      <c r="A22" s="1352"/>
      <c r="B22" s="1353" t="s">
        <v>535</v>
      </c>
      <c r="C22" s="1354"/>
      <c r="D22" s="1355"/>
      <c r="E22" s="762"/>
      <c r="F22" s="1163" t="s">
        <v>1971</v>
      </c>
      <c r="G22" t="str">
        <f>IF('Project information'!$C$7="Pre-assessment stage",Submittals!B22,Submittals!F22)</f>
        <v>• Evidence showing the radiant cooling system installed such as photographs, commissioning records, etc.</v>
      </c>
    </row>
    <row r="23" spans="1:9" ht="24.75" customHeight="1" x14ac:dyDescent="0.25">
      <c r="A23" s="1351" t="s">
        <v>859</v>
      </c>
      <c r="B23" s="1353" t="s">
        <v>535</v>
      </c>
      <c r="C23" s="1354"/>
      <c r="D23" s="1355"/>
      <c r="E23" s="762"/>
      <c r="F23" s="762" t="s">
        <v>1968</v>
      </c>
      <c r="G23" t="str">
        <f>IF('Project information'!$C$7="Pre-assessment stage",Submittals!B23,Submittals!F23)</f>
        <v>• Evidence showing the fans installed such as photographs, plans, etc.</v>
      </c>
    </row>
    <row r="24" spans="1:9" ht="24.75" customHeight="1" x14ac:dyDescent="0.25">
      <c r="A24" s="1352"/>
      <c r="B24" s="1353" t="s">
        <v>535</v>
      </c>
      <c r="C24" s="1354"/>
      <c r="D24" s="1355"/>
      <c r="E24" s="762"/>
      <c r="F24" s="762" t="s">
        <v>51</v>
      </c>
      <c r="G24" t="str">
        <f>IF('Project information'!$C$7="Pre-assessment stage",Submittals!B24,Submittals!F24)</f>
        <v>/</v>
      </c>
    </row>
    <row r="25" spans="1:9" x14ac:dyDescent="0.25">
      <c r="A25" s="1340" t="s">
        <v>1890</v>
      </c>
      <c r="B25" s="1339" t="s">
        <v>535</v>
      </c>
      <c r="C25" s="1339"/>
      <c r="D25" s="1339"/>
      <c r="E25" s="368" t="s">
        <v>677</v>
      </c>
      <c r="F25" s="1146" t="s">
        <v>1887</v>
      </c>
      <c r="G25" t="str">
        <f>IF('Project information'!$C$7="Pre-assessment stage",Submittals!B25,Submittals!F25)</f>
        <v>• Technical data of the lighting fixtures showing wattage and lumen output</v>
      </c>
      <c r="H25" s="1156"/>
      <c r="I25" s="1157"/>
    </row>
    <row r="26" spans="1:9" ht="25.5" x14ac:dyDescent="0.25">
      <c r="A26" s="1341"/>
      <c r="B26" s="1339" t="s">
        <v>535</v>
      </c>
      <c r="C26" s="1339"/>
      <c r="D26" s="1339"/>
      <c r="E26" s="368" t="s">
        <v>678</v>
      </c>
      <c r="F26" s="1146" t="s">
        <v>1888</v>
      </c>
      <c r="G26" t="str">
        <f>IF('Project information'!$C$7="Pre-assessment stage",Submittals!B26,Submittals!F26)</f>
        <v>• Evidence of the lighting fixtures installed such as photographs, invoices, receipts, etc.</v>
      </c>
      <c r="H26" s="1156"/>
      <c r="I26" s="1157"/>
    </row>
    <row r="27" spans="1:9" x14ac:dyDescent="0.25">
      <c r="A27" s="1340" t="s">
        <v>1889</v>
      </c>
      <c r="B27" s="1339" t="s">
        <v>535</v>
      </c>
      <c r="C27" s="1339"/>
      <c r="D27" s="1339"/>
      <c r="E27" s="1146" t="s">
        <v>677</v>
      </c>
      <c r="F27" s="1146" t="s">
        <v>937</v>
      </c>
      <c r="G27" t="str">
        <f>IF('Project information'!$C$7="Pre-assessment stage",Submittals!B27,Submittals!F27)</f>
        <v>• As-installed interior lighting drawings</v>
      </c>
    </row>
    <row r="28" spans="1:9" ht="25.5" x14ac:dyDescent="0.25">
      <c r="A28" s="1342"/>
      <c r="B28" s="1339" t="s">
        <v>535</v>
      </c>
      <c r="C28" s="1339"/>
      <c r="D28" s="1339"/>
      <c r="E28" s="1163" t="s">
        <v>678</v>
      </c>
      <c r="F28" s="1163" t="s">
        <v>679</v>
      </c>
      <c r="G28" t="str">
        <f>IF('Project information'!$C$7="Pre-assessment stage",Submittals!B28,Submittals!F28)</f>
        <v>• Manufacturer’s published data of all lamps and ballasts used in the interior of the building</v>
      </c>
    </row>
    <row r="29" spans="1:9" ht="25.5" x14ac:dyDescent="0.25">
      <c r="A29" s="1341"/>
      <c r="B29" s="1339" t="s">
        <v>535</v>
      </c>
      <c r="C29" s="1339"/>
      <c r="D29" s="1339"/>
      <c r="E29" s="1146" t="s">
        <v>678</v>
      </c>
      <c r="F29" s="1146" t="s">
        <v>1888</v>
      </c>
      <c r="G29" t="str">
        <f>IF('Project information'!$C$7="Pre-assessment stage",Submittals!B29,Submittals!F29)</f>
        <v>• Evidence of the lighting fixtures installed such as photographs, invoices, receipts, etc.</v>
      </c>
    </row>
    <row r="30" spans="1:9" ht="25.5" x14ac:dyDescent="0.25">
      <c r="A30" s="1340" t="s">
        <v>674</v>
      </c>
      <c r="B30" s="1339" t="s">
        <v>535</v>
      </c>
      <c r="C30" s="1339"/>
      <c r="D30" s="1339"/>
      <c r="E30" s="464" t="s">
        <v>676</v>
      </c>
      <c r="F30" s="1275" t="s">
        <v>2477</v>
      </c>
      <c r="G30" t="str">
        <f>IF('Project information'!$C$7="Pre-assessment stage",Submittals!B30,Submittals!F30)</f>
        <v>• Electrical drawings showing the location of all sensors and controls for separate spaces</v>
      </c>
    </row>
    <row r="31" spans="1:9" ht="25.5" x14ac:dyDescent="0.25">
      <c r="A31" s="1342"/>
      <c r="B31" s="1339" t="s">
        <v>535</v>
      </c>
      <c r="C31" s="1339"/>
      <c r="D31" s="1339"/>
      <c r="E31" s="1163" t="s">
        <v>675</v>
      </c>
      <c r="F31" s="1275" t="s">
        <v>2476</v>
      </c>
      <c r="G31" t="str">
        <f>IF('Project information'!$C$7="Pre-assessment stage",Submittals!B31,Submittals!F31)</f>
        <v>• Evidence of the lighting sensors and controls installed such as photographs, invoices, receipts, etc.</v>
      </c>
    </row>
    <row r="32" spans="1:9" ht="23.25" customHeight="1" x14ac:dyDescent="0.25">
      <c r="A32" s="1341"/>
      <c r="B32" s="1339" t="s">
        <v>535</v>
      </c>
      <c r="C32" s="1339"/>
      <c r="D32" s="1339"/>
      <c r="E32" s="464" t="s">
        <v>675</v>
      </c>
      <c r="F32" s="1163"/>
    </row>
    <row r="33" spans="1:7" ht="25.5" x14ac:dyDescent="0.25">
      <c r="A33" s="1340" t="s">
        <v>2478</v>
      </c>
      <c r="B33" s="1339" t="s">
        <v>535</v>
      </c>
      <c r="C33" s="1339"/>
      <c r="D33" s="1339"/>
      <c r="E33" s="464" t="s">
        <v>691</v>
      </c>
      <c r="F33" s="1275" t="s">
        <v>2479</v>
      </c>
      <c r="G33" t="str">
        <f>IF('Project information'!$C$7="Pre-assessment stage",Submittals!B33,Submittals!F33)</f>
        <v>• Electrical drawings showing the location of task lights and master main switch</v>
      </c>
    </row>
    <row r="34" spans="1:7" ht="25.5" x14ac:dyDescent="0.25">
      <c r="A34" s="1341"/>
      <c r="B34" s="1339" t="s">
        <v>535</v>
      </c>
      <c r="C34" s="1339"/>
      <c r="D34" s="1339"/>
      <c r="E34" s="464" t="s">
        <v>675</v>
      </c>
      <c r="F34" s="1275" t="s">
        <v>2480</v>
      </c>
      <c r="G34" t="str">
        <f>IF('Project information'!$C$7="Pre-assessment stage",Submittals!B34,Submittals!F34)</f>
        <v>• Evidence of the task lights, master main switch installed such as photographs, commissioning records, etc.</v>
      </c>
    </row>
    <row r="35" spans="1:7" ht="21.75" customHeight="1" x14ac:dyDescent="0.25">
      <c r="A35" s="1340" t="s">
        <v>536</v>
      </c>
      <c r="B35" s="1339" t="s">
        <v>535</v>
      </c>
      <c r="C35" s="1339"/>
      <c r="D35" s="1339"/>
      <c r="E35" s="464" t="s">
        <v>697</v>
      </c>
      <c r="F35" s="376" t="s">
        <v>1972</v>
      </c>
      <c r="G35" t="str">
        <f>IF('Project information'!$C$7="Pre-assessment stage",Submittals!B35,Submittals!F35)</f>
        <v>• Evidence showing that the appliances are certified under a recognized energy efficiency label such as photographs, technical data, etc.</v>
      </c>
    </row>
    <row r="36" spans="1:7" ht="30" customHeight="1" x14ac:dyDescent="0.25">
      <c r="A36" s="1341"/>
      <c r="B36" s="1339" t="s">
        <v>535</v>
      </c>
      <c r="C36" s="1339"/>
      <c r="D36" s="1339"/>
      <c r="E36" s="463" t="s">
        <v>51</v>
      </c>
      <c r="F36" s="376" t="s">
        <v>680</v>
      </c>
      <c r="G36" t="str">
        <f>IF('Project information'!$C$7="Pre-assessment stage",Submittals!B36,Submittals!F36)</f>
        <v>• Evidence showing that the aforementioned appliances were installed such as photographs, invoices, etc.</v>
      </c>
    </row>
    <row r="37" spans="1:7" ht="19.5" customHeight="1" x14ac:dyDescent="0.25">
      <c r="A37" s="1340" t="s">
        <v>537</v>
      </c>
      <c r="B37" s="1339" t="s">
        <v>535</v>
      </c>
      <c r="C37" s="1339"/>
      <c r="D37" s="1339"/>
      <c r="E37" s="464" t="s">
        <v>695</v>
      </c>
      <c r="F37" s="464" t="s">
        <v>696</v>
      </c>
      <c r="G37" t="str">
        <f>IF('Project information'!$C$7="Pre-assessment stage",Submittals!B37,Submittals!F37)</f>
        <v>• Manufacturer's data of the plug load controls</v>
      </c>
    </row>
    <row r="38" spans="1:7" ht="24" customHeight="1" x14ac:dyDescent="0.25">
      <c r="A38" s="1341"/>
      <c r="B38" s="1339" t="s">
        <v>535</v>
      </c>
      <c r="C38" s="1339"/>
      <c r="D38" s="1339"/>
      <c r="E38" s="464" t="s">
        <v>694</v>
      </c>
      <c r="F38" s="464" t="s">
        <v>1973</v>
      </c>
      <c r="G38" t="str">
        <f>IF('Project information'!$C$7="Pre-assessment stage",Submittals!B38,Submittals!F38)</f>
        <v>• Evidence showing the location of all the plug points such as photographs, electrical drawings, commission records, etc.</v>
      </c>
    </row>
    <row r="39" spans="1:7" ht="22.5" customHeight="1" x14ac:dyDescent="0.25">
      <c r="A39" s="1340" t="s">
        <v>1495</v>
      </c>
      <c r="B39" s="1339" t="s">
        <v>535</v>
      </c>
      <c r="C39" s="1339"/>
      <c r="D39" s="1339"/>
      <c r="E39" s="368"/>
      <c r="F39" s="368" t="s">
        <v>1507</v>
      </c>
      <c r="G39" t="str">
        <f>IF('Project information'!$C$7="Pre-assessment stage",Submittals!B39,Submittals!F39)</f>
        <v>• Evidence showing that an energy monitor is installed such as photographs, invoices, etc.</v>
      </c>
    </row>
    <row r="40" spans="1:7" ht="24" customHeight="1" x14ac:dyDescent="0.25">
      <c r="A40" s="1341"/>
      <c r="B40" s="1339" t="s">
        <v>535</v>
      </c>
      <c r="C40" s="1339"/>
      <c r="D40" s="1339"/>
      <c r="E40" s="273" t="s">
        <v>51</v>
      </c>
      <c r="F40" s="368" t="s">
        <v>1886</v>
      </c>
      <c r="G40" t="str">
        <f>IF('Project information'!$C$7="Pre-assessment stage",Submittals!B40,Submittals!F40)</f>
        <v>• Evidence showing that the energy monitor can analyze data at regular intervals and can provide the data to a visual display or to a PC such as photographs, technical data, etc.</v>
      </c>
    </row>
    <row r="41" spans="1:7" ht="25.5" x14ac:dyDescent="0.25">
      <c r="A41" s="1340" t="s">
        <v>1780</v>
      </c>
      <c r="B41" s="1339" t="s">
        <v>535</v>
      </c>
      <c r="C41" s="1339"/>
      <c r="D41" s="1339"/>
      <c r="E41" s="368" t="s">
        <v>922</v>
      </c>
      <c r="F41" s="368" t="s">
        <v>1545</v>
      </c>
      <c r="G41" t="str">
        <f>IF('Project information'!$C$7="Pre-assessment stage",Submittals!B41,Submittals!F41)</f>
        <v>• Evidence showing that the energy control solutions are installed such as photographs, invoices, etc.</v>
      </c>
    </row>
    <row r="42" spans="1:7" x14ac:dyDescent="0.25">
      <c r="A42" s="1341"/>
      <c r="B42" s="1339" t="s">
        <v>535</v>
      </c>
      <c r="C42" s="1339"/>
      <c r="D42" s="1339"/>
      <c r="E42" s="273" t="s">
        <v>51</v>
      </c>
      <c r="F42" s="368" t="s">
        <v>51</v>
      </c>
      <c r="G42" t="str">
        <f>IF('Project information'!$C$7="Pre-assessment stage",Submittals!B42,Submittals!F42)</f>
        <v>/</v>
      </c>
    </row>
    <row r="43" spans="1:7" ht="25.5" customHeight="1" x14ac:dyDescent="0.25">
      <c r="A43" s="1340" t="s">
        <v>1781</v>
      </c>
      <c r="B43" s="1339" t="s">
        <v>535</v>
      </c>
      <c r="C43" s="1339"/>
      <c r="D43" s="1339"/>
      <c r="E43" s="1064" t="s">
        <v>922</v>
      </c>
      <c r="F43" s="1064" t="s">
        <v>1564</v>
      </c>
      <c r="G43" t="str">
        <f>IF('Project information'!$C$7="Pre-assessment stage",Submittals!B43,Submittals!F43)</f>
        <v>• Evidence of the solar water heater installed such as photographs, invoices, receipts, etc.</v>
      </c>
    </row>
    <row r="44" spans="1:7" x14ac:dyDescent="0.25">
      <c r="A44" s="1342"/>
      <c r="B44" s="1339" t="s">
        <v>535</v>
      </c>
      <c r="C44" s="1339"/>
      <c r="D44" s="1339"/>
      <c r="E44" s="1064"/>
      <c r="F44" s="1064" t="s">
        <v>1566</v>
      </c>
      <c r="G44" t="str">
        <f>IF('Project information'!$C$7="Pre-assessment stage",Submittals!B44,Submittals!F44)</f>
        <v>• Technical data of the heat pump water heating systems installed showing the COP values</v>
      </c>
    </row>
    <row r="45" spans="1:7" ht="25.5" x14ac:dyDescent="0.25">
      <c r="A45" s="1341"/>
      <c r="B45" s="1339" t="s">
        <v>535</v>
      </c>
      <c r="C45" s="1339"/>
      <c r="D45" s="1339"/>
      <c r="E45" s="1058" t="s">
        <v>51</v>
      </c>
      <c r="F45" s="1064" t="s">
        <v>1567</v>
      </c>
      <c r="G45" t="str">
        <f>IF('Project information'!$C$7="Pre-assessment stage",Submittals!B45,Submittals!F45)</f>
        <v>• Evidence of the heat pump water heating system installed such as photographs, invoices, receipts, etc.</v>
      </c>
    </row>
    <row r="46" spans="1:7" ht="64.5" customHeight="1" x14ac:dyDescent="0.25">
      <c r="A46" s="1343" t="s">
        <v>1610</v>
      </c>
      <c r="B46" s="1339" t="s">
        <v>535</v>
      </c>
      <c r="C46" s="1339"/>
      <c r="D46" s="1339"/>
      <c r="E46" s="930" t="s">
        <v>1101</v>
      </c>
      <c r="F46" s="930" t="s">
        <v>2654</v>
      </c>
      <c r="G46" t="str">
        <f>IF('Project information'!$C$7="Pre-assessment stage",Submittals!B46,Submittals!F46)</f>
        <v>• Manufacturer's data of all the water efficient fixtures installed showing the water usage of the fixtures (flowrates or flush volumes) - OR -
• Test measurements results showing the water usage of the fixtures (flowrates or flush volumes) of all the water fixtures installed</v>
      </c>
    </row>
    <row r="47" spans="1:7" ht="29.25" customHeight="1" x14ac:dyDescent="0.25">
      <c r="A47" s="1366"/>
      <c r="B47" s="1339" t="s">
        <v>535</v>
      </c>
      <c r="C47" s="1339"/>
      <c r="D47" s="1339"/>
      <c r="E47" s="930" t="s">
        <v>1102</v>
      </c>
      <c r="F47" s="930" t="s">
        <v>1885</v>
      </c>
      <c r="G47" t="str">
        <f>IF('Project information'!$C$7="Pre-assessment stage",Submittals!B47,Submittals!F47)</f>
        <v>• Evidence that the water efficient fixtures have been installed such as photographs, receipts, delivery order, etc.</v>
      </c>
    </row>
    <row r="48" spans="1:7" ht="34.5" customHeight="1" x14ac:dyDescent="0.25">
      <c r="A48" s="1343" t="s">
        <v>1611</v>
      </c>
      <c r="B48" s="1339" t="s">
        <v>535</v>
      </c>
      <c r="C48" s="1339"/>
      <c r="D48" s="1339"/>
      <c r="E48" s="368" t="s">
        <v>1101</v>
      </c>
      <c r="F48" s="368" t="s">
        <v>2653</v>
      </c>
      <c r="G48" t="str">
        <f>IF('Project information'!$C$7="Pre-assessment stage",Submittals!B48,Submittals!F48)</f>
        <v>• For each water fixture installed, evidence showing the water usage of the fixture (flowrate or flush size) such as manufacturer's data, inventory report from a facility audit or test measurements results.</v>
      </c>
    </row>
    <row r="49" spans="1:7" ht="29.25" customHeight="1" x14ac:dyDescent="0.25">
      <c r="A49" s="1344"/>
      <c r="B49" s="1339" t="s">
        <v>535</v>
      </c>
      <c r="C49" s="1339"/>
      <c r="D49" s="1339"/>
      <c r="E49" s="689" t="s">
        <v>1102</v>
      </c>
      <c r="F49" s="689" t="s">
        <v>1882</v>
      </c>
      <c r="G49" t="str">
        <f>IF('Project information'!$C$7="Pre-assessment stage",Submittals!B49,Submittals!F49)</f>
        <v>• Evidence that the water fixtures are installed such as photographs, receipts, inventory report from a facility audit, etc.</v>
      </c>
    </row>
    <row r="50" spans="1:7" ht="37.5" customHeight="1" x14ac:dyDescent="0.25">
      <c r="A50" s="1344"/>
      <c r="B50" s="1339" t="s">
        <v>535</v>
      </c>
      <c r="C50" s="1339"/>
      <c r="D50" s="1339"/>
      <c r="E50" s="686" t="s">
        <v>51</v>
      </c>
      <c r="F50" s="628" t="s">
        <v>51</v>
      </c>
      <c r="G50" t="str">
        <f>IF('Project information'!$C$7="Pre-assessment stage",Submittals!B50,Submittals!F50)</f>
        <v>/</v>
      </c>
    </row>
    <row r="51" spans="1:7" ht="55.5" customHeight="1" x14ac:dyDescent="0.25">
      <c r="A51" s="1343" t="s">
        <v>1256</v>
      </c>
      <c r="B51" s="1339" t="s">
        <v>535</v>
      </c>
      <c r="C51" s="1339"/>
      <c r="D51" s="1339"/>
      <c r="E51" s="743" t="s">
        <v>1258</v>
      </c>
      <c r="F51" s="1336" t="s">
        <v>2654</v>
      </c>
      <c r="G51" t="str">
        <f>IF('Project information'!$C$7="Pre-assessment stage",Submittals!B51,Submittals!F51)</f>
        <v>• Manufacturer's data of all the water efficient fixtures installed showing the water usage of the fixtures (flowrates or flush volumes) - OR -
• Test measurements results showing the water usage of the fixtures (flowrates or flush volumes) of all the water fixtures installed</v>
      </c>
    </row>
    <row r="52" spans="1:7" ht="37.5" customHeight="1" x14ac:dyDescent="0.25">
      <c r="A52" s="1344"/>
      <c r="B52" s="1339" t="s">
        <v>535</v>
      </c>
      <c r="C52" s="1339"/>
      <c r="D52" s="1339"/>
      <c r="E52" s="743" t="s">
        <v>1102</v>
      </c>
      <c r="F52" s="1146" t="s">
        <v>1885</v>
      </c>
      <c r="G52" t="str">
        <f>IF('Project information'!$C$7="Pre-assessment stage",Submittals!B52,Submittals!F52)</f>
        <v>• Evidence that the water efficient fixtures have been installed such as photographs, receipts, delivery order, etc.</v>
      </c>
    </row>
    <row r="53" spans="1:7" ht="22.5" customHeight="1" x14ac:dyDescent="0.25">
      <c r="A53" s="1343" t="s">
        <v>1257</v>
      </c>
      <c r="B53" s="1339" t="s">
        <v>535</v>
      </c>
      <c r="C53" s="1339"/>
      <c r="D53" s="1339"/>
      <c r="E53" s="743" t="s">
        <v>1259</v>
      </c>
      <c r="F53" s="1146" t="s">
        <v>1883</v>
      </c>
      <c r="G53" t="str">
        <f>IF('Project information'!$C$7="Pre-assessment stage",Submittals!B53,Submittals!F53)</f>
        <v>• Manufacturer’s data for each water appliance installed showing the water usage of the appliance</v>
      </c>
    </row>
    <row r="54" spans="1:7" ht="33" customHeight="1" x14ac:dyDescent="0.25">
      <c r="A54" s="1344"/>
      <c r="B54" s="1339" t="s">
        <v>535</v>
      </c>
      <c r="C54" s="1339"/>
      <c r="D54" s="1339"/>
      <c r="E54" s="732" t="s">
        <v>51</v>
      </c>
      <c r="F54" s="1146" t="s">
        <v>1884</v>
      </c>
      <c r="G54" t="str">
        <f>IF('Project information'!$C$7="Pre-assessment stage",Submittals!B54,Submittals!F54)</f>
        <v>• Evidence that the water efficient appliances have been installed such as photographs, receipts, delivery order, etc.</v>
      </c>
    </row>
    <row r="55" spans="1:7" ht="22.5" customHeight="1" x14ac:dyDescent="0.25">
      <c r="A55" s="1351" t="s">
        <v>272</v>
      </c>
      <c r="B55" s="1339" t="s">
        <v>535</v>
      </c>
      <c r="C55" s="1339"/>
      <c r="D55" s="1339"/>
      <c r="E55" s="506" t="s">
        <v>701</v>
      </c>
      <c r="F55" s="368" t="s">
        <v>702</v>
      </c>
      <c r="G55" t="str">
        <f>IF('Project information'!$C$7="Pre-assessment stage",Submittals!B55,Submittals!F55)</f>
        <v xml:space="preserve">• Product technical data showing the types of filters contained in the water filtration system </v>
      </c>
    </row>
    <row r="56" spans="1:7" ht="22.5" customHeight="1" x14ac:dyDescent="0.25">
      <c r="A56" s="1352"/>
      <c r="B56" s="1339" t="s">
        <v>535</v>
      </c>
      <c r="C56" s="1339"/>
      <c r="D56" s="1339"/>
      <c r="E56" s="503" t="s">
        <v>51</v>
      </c>
      <c r="F56" s="368" t="s">
        <v>1879</v>
      </c>
      <c r="G56" t="str">
        <f>IF('Project information'!$C$7="Pre-assessment stage",Submittals!B56,Submittals!F56)</f>
        <v>• Evidence showing that the water filtration system was installed such as photographs, invoices, receipts, etc.</v>
      </c>
    </row>
    <row r="57" spans="1:7" ht="25.5" x14ac:dyDescent="0.25">
      <c r="A57" s="1337" t="s">
        <v>18</v>
      </c>
      <c r="B57" s="1339" t="s">
        <v>535</v>
      </c>
      <c r="C57" s="1339"/>
      <c r="D57" s="1339"/>
      <c r="E57" s="621" t="s">
        <v>911</v>
      </c>
      <c r="F57" s="1146" t="s">
        <v>2336</v>
      </c>
      <c r="G57" t="str">
        <f>IF('Project information'!$C$7="Pre-assessment stage",Submittals!B57,Submittals!F57)</f>
        <v>• Evidence showing that the materials are sustainable such as photographs, manufacturer’s data, certificates, test reports, letter from manufacturer, etc.</v>
      </c>
    </row>
    <row r="58" spans="1:7" ht="38.25" x14ac:dyDescent="0.25">
      <c r="A58" s="1345"/>
      <c r="B58" s="1339" t="s">
        <v>535</v>
      </c>
      <c r="C58" s="1339"/>
      <c r="D58" s="1339"/>
      <c r="E58" s="621" t="s">
        <v>912</v>
      </c>
      <c r="F58" s="1146" t="s">
        <v>2337</v>
      </c>
      <c r="G58" t="str">
        <f>IF('Project information'!$C$7="Pre-assessment stage",Submittals!B58,Submittals!F58)</f>
        <v>• Evidence showing that the materials were installed such as photographs, invoices, receipts, etc.</v>
      </c>
    </row>
    <row r="59" spans="1:7" x14ac:dyDescent="0.25">
      <c r="A59" s="1338"/>
      <c r="B59" s="1339" t="s">
        <v>535</v>
      </c>
      <c r="C59" s="1339"/>
      <c r="D59" s="1339"/>
      <c r="E59" s="613" t="s">
        <v>51</v>
      </c>
      <c r="F59" s="621" t="s">
        <v>51</v>
      </c>
      <c r="G59" t="str">
        <f>IF('Project information'!$C$7="Pre-assessment stage",Submittals!B59,Submittals!F59)</f>
        <v>/</v>
      </c>
    </row>
    <row r="60" spans="1:7" ht="25.5" x14ac:dyDescent="0.25">
      <c r="A60" s="1337" t="s">
        <v>2285</v>
      </c>
      <c r="B60" s="1339" t="s">
        <v>535</v>
      </c>
      <c r="C60" s="1339"/>
      <c r="D60" s="1339"/>
      <c r="E60" s="621" t="s">
        <v>921</v>
      </c>
      <c r="F60" s="621" t="s">
        <v>2338</v>
      </c>
      <c r="G60" t="str">
        <f>IF('Project information'!$C$7="Pre-assessment stage",Submittals!B60,Submittals!F60)</f>
        <v>• Evidence showing that the furniture items are sustainable such as photographs, manufacturer’s data, certificates, test reports, letter from manufacturer, etc.</v>
      </c>
    </row>
    <row r="61" spans="1:7" ht="38.25" x14ac:dyDescent="0.25">
      <c r="A61" s="1345"/>
      <c r="B61" s="1339" t="s">
        <v>535</v>
      </c>
      <c r="C61" s="1339"/>
      <c r="D61" s="1339"/>
      <c r="E61" s="621" t="s">
        <v>913</v>
      </c>
      <c r="F61" s="621" t="s">
        <v>2339</v>
      </c>
      <c r="G61" t="str">
        <f>IF('Project information'!$C$7="Pre-assessment stage",Submittals!B61,Submittals!F61)</f>
        <v>• Evidence showing that the furniture items were installed such as photographs, invoices, receipts, etc.</v>
      </c>
    </row>
    <row r="62" spans="1:7" x14ac:dyDescent="0.25">
      <c r="A62" s="1338"/>
      <c r="B62" s="1339" t="s">
        <v>535</v>
      </c>
      <c r="C62" s="1339"/>
      <c r="D62" s="1339"/>
      <c r="E62" s="613" t="s">
        <v>51</v>
      </c>
      <c r="F62" s="621" t="s">
        <v>51</v>
      </c>
      <c r="G62" t="str">
        <f>IF('Project information'!$C$7="Pre-assessment stage",Submittals!B62,Submittals!F62)</f>
        <v>/</v>
      </c>
    </row>
    <row r="63" spans="1:7" ht="41.25" customHeight="1" x14ac:dyDescent="0.25">
      <c r="A63" s="1337" t="s">
        <v>2340</v>
      </c>
      <c r="B63" s="1339" t="s">
        <v>535</v>
      </c>
      <c r="C63" s="1339"/>
      <c r="D63" s="1339"/>
      <c r="E63" s="368" t="s">
        <v>1508</v>
      </c>
      <c r="F63" s="1170" t="s">
        <v>2016</v>
      </c>
      <c r="G63" t="str">
        <f>IF('Project information'!$C$7="Pre-assessment stage",Submittals!B63,Submittals!F63)</f>
        <v>• Evidence showing the waste storage area during fit-out such as photographs, etc.</v>
      </c>
    </row>
    <row r="64" spans="1:7" ht="31.5" customHeight="1" x14ac:dyDescent="0.25">
      <c r="A64" s="1338"/>
      <c r="B64" s="1339" t="s">
        <v>535</v>
      </c>
      <c r="C64" s="1339"/>
      <c r="D64" s="1339"/>
      <c r="E64" s="597" t="s">
        <v>51</v>
      </c>
      <c r="F64" s="1170" t="s">
        <v>1950</v>
      </c>
      <c r="G64" t="str">
        <f>IF('Project information'!$C$7="Pre-assessment stage",Submittals!B64,Submittals!F64)</f>
        <v>• Evidence showing the amount of waste generated and the amount of waste diverted from landfill such as removal contracts and/or sales/trade documents covering all waste removal compiled</v>
      </c>
    </row>
    <row r="65" spans="1:7" ht="25.5" x14ac:dyDescent="0.25">
      <c r="A65" s="1337" t="s">
        <v>2341</v>
      </c>
      <c r="B65" s="1339" t="s">
        <v>535</v>
      </c>
      <c r="C65" s="1339"/>
      <c r="D65" s="1339"/>
      <c r="E65" s="368"/>
      <c r="F65" s="368" t="s">
        <v>681</v>
      </c>
      <c r="G65" t="str">
        <f>IF('Project information'!$C$7="Pre-assessment stage",Submittals!B65,Submittals!F65)</f>
        <v>• Evidence that the strategies to reduce the waste generation were followed such as photographs, drawings, receipts, etc.</v>
      </c>
    </row>
    <row r="66" spans="1:7" x14ac:dyDescent="0.25">
      <c r="A66" s="1338"/>
      <c r="B66" s="1339" t="s">
        <v>535</v>
      </c>
      <c r="C66" s="1339"/>
      <c r="D66" s="1339"/>
      <c r="E66" s="368"/>
      <c r="F66" s="379" t="s">
        <v>51</v>
      </c>
      <c r="G66" t="str">
        <f>IF('Project information'!$C$7="Pre-assessment stage",Submittals!B66,Submittals!F66)</f>
        <v>/</v>
      </c>
    </row>
    <row r="67" spans="1:7" ht="21" customHeight="1" x14ac:dyDescent="0.25">
      <c r="A67" s="1337" t="s">
        <v>2342</v>
      </c>
      <c r="B67" s="1339" t="s">
        <v>535</v>
      </c>
      <c r="C67" s="1339"/>
      <c r="D67" s="1339"/>
      <c r="E67" s="368"/>
      <c r="F67" s="368" t="s">
        <v>1951</v>
      </c>
      <c r="G67" t="str">
        <f>IF('Project information'!$C$7="Pre-assessment stage",Submittals!B67,Submittals!F67)</f>
        <v>• Copy of the environmentally friendly solid waste management system manual signed by the tenant</v>
      </c>
    </row>
    <row r="68" spans="1:7" ht="21" customHeight="1" x14ac:dyDescent="0.25">
      <c r="A68" s="1338"/>
      <c r="B68" s="1339" t="s">
        <v>535</v>
      </c>
      <c r="C68" s="1339"/>
      <c r="D68" s="1339"/>
      <c r="E68" s="368"/>
      <c r="F68" s="1161" t="s">
        <v>51</v>
      </c>
      <c r="G68" t="str">
        <f>IF('Project information'!$C$7="Pre-assessment stage",Submittals!B68,Submittals!F68)</f>
        <v>/</v>
      </c>
    </row>
    <row r="69" spans="1:7" ht="38.25" x14ac:dyDescent="0.25">
      <c r="A69" s="1337" t="s">
        <v>2343</v>
      </c>
      <c r="B69" s="1339" t="s">
        <v>535</v>
      </c>
      <c r="C69" s="1339"/>
      <c r="D69" s="1339"/>
      <c r="E69" s="381" t="s">
        <v>940</v>
      </c>
      <c r="F69" s="381" t="s">
        <v>2214</v>
      </c>
      <c r="G69" t="str">
        <f>IF('Project information'!$C$7="Pre-assessment stage",Submittals!B69,Submittals!F69)</f>
        <v>• Photographs showing the dedicated recycling storage area, the storage spaces and the signs indicating the storage area and the storage spaces.</v>
      </c>
    </row>
    <row r="70" spans="1:7" x14ac:dyDescent="0.25">
      <c r="A70" s="1338"/>
      <c r="B70" s="1339" t="s">
        <v>535</v>
      </c>
      <c r="C70" s="1339"/>
      <c r="D70" s="1339"/>
      <c r="E70" s="381"/>
      <c r="F70" s="1161" t="s">
        <v>51</v>
      </c>
      <c r="G70" t="str">
        <f>IF('Project information'!$C$7="Pre-assessment stage",Submittals!B70,Submittals!F70)</f>
        <v>/</v>
      </c>
    </row>
    <row r="71" spans="1:7" x14ac:dyDescent="0.25">
      <c r="A71" s="1346" t="s">
        <v>26</v>
      </c>
      <c r="B71" s="1339" t="s">
        <v>535</v>
      </c>
      <c r="C71" s="1339"/>
      <c r="D71" s="1339"/>
      <c r="E71" s="604" t="s">
        <v>815</v>
      </c>
      <c r="F71" s="368" t="s">
        <v>815</v>
      </c>
      <c r="G71" t="str">
        <f>IF('Project information'!$C$7="Pre-assessment stage",Submittals!B71,Submittals!F71)</f>
        <v>• Elevations and plans marking all operable wall and roof openings with their size</v>
      </c>
    </row>
    <row r="72" spans="1:7" x14ac:dyDescent="0.25">
      <c r="A72" s="1347"/>
      <c r="B72" s="1339" t="s">
        <v>535</v>
      </c>
      <c r="C72" s="1339"/>
      <c r="D72" s="1339"/>
      <c r="E72" s="604" t="s">
        <v>875</v>
      </c>
      <c r="F72" s="604" t="s">
        <v>875</v>
      </c>
      <c r="G72" t="str">
        <f>IF('Project information'!$C$7="Pre-assessment stage",Submittals!B72,Submittals!F72)</f>
        <v>• Photographs showing all operable wall and roof openings</v>
      </c>
    </row>
    <row r="73" spans="1:7" x14ac:dyDescent="0.25">
      <c r="A73" s="1347"/>
      <c r="B73" s="1339" t="s">
        <v>535</v>
      </c>
      <c r="C73" s="1339"/>
      <c r="D73" s="1339"/>
      <c r="E73" s="568" t="s">
        <v>876</v>
      </c>
      <c r="F73" s="568" t="s">
        <v>816</v>
      </c>
      <c r="G73" t="str">
        <f>IF('Project information'!$C$7="Pre-assessment stage",Submittals!B73,Submittals!F73)</f>
        <v>• As-built schematic mechanical drawings showing fresh air supply rates</v>
      </c>
    </row>
    <row r="74" spans="1:7" ht="25.5" x14ac:dyDescent="0.25">
      <c r="A74" s="1347"/>
      <c r="B74" s="1339" t="s">
        <v>535</v>
      </c>
      <c r="C74" s="1339"/>
      <c r="D74" s="1339"/>
      <c r="E74" s="1152" t="s">
        <v>876</v>
      </c>
      <c r="F74" s="1152" t="s">
        <v>1932</v>
      </c>
      <c r="G74" t="str">
        <f>IF('Project information'!$C$7="Pre-assessment stage",Submittals!B74,Submittals!F74)</f>
        <v xml:space="preserve">• Calculations demonstrating that the requirements of the recognized standard selected are met </v>
      </c>
    </row>
    <row r="75" spans="1:7" ht="25.5" x14ac:dyDescent="0.25">
      <c r="A75" s="1348"/>
      <c r="B75" s="1339" t="s">
        <v>535</v>
      </c>
      <c r="C75" s="1339"/>
      <c r="D75" s="1339"/>
      <c r="E75" s="601" t="s">
        <v>51</v>
      </c>
      <c r="F75" s="368" t="s">
        <v>817</v>
      </c>
      <c r="G75" t="str">
        <f>IF('Project information'!$C$7="Pre-assessment stage",Submittals!B75,Submittals!F75)</f>
        <v>• Evidence of the HVAC equipment installed, such as photographs, invoices, receipts, commissioning report, etc.</v>
      </c>
    </row>
    <row r="76" spans="1:7" ht="38.25" x14ac:dyDescent="0.25">
      <c r="A76" s="1359" t="s">
        <v>1775</v>
      </c>
      <c r="B76" s="1339" t="s">
        <v>535</v>
      </c>
      <c r="C76" s="1339"/>
      <c r="D76" s="1339"/>
      <c r="E76" s="368" t="s">
        <v>682</v>
      </c>
      <c r="F76" s="378" t="s">
        <v>2052</v>
      </c>
      <c r="G76" t="str">
        <f>IF('Project information'!$C$7="Pre-assessment stage",Submittals!B76,Submittals!F76)</f>
        <v>• For each low-VOC product, evidence showing that the products installed are low-VOC products such as manufacturer’s published data, certificate, test reports, etc.</v>
      </c>
    </row>
    <row r="77" spans="1:7" ht="25.5" x14ac:dyDescent="0.25">
      <c r="A77" s="1360"/>
      <c r="B77" s="1339" t="s">
        <v>535</v>
      </c>
      <c r="C77" s="1339"/>
      <c r="D77" s="1339"/>
      <c r="E77" s="273" t="s">
        <v>51</v>
      </c>
      <c r="F77" s="378" t="s">
        <v>2053</v>
      </c>
      <c r="G77" t="str">
        <f>IF('Project information'!$C$7="Pre-assessment stage",Submittals!B77,Submittals!F77)</f>
        <v>• Evidence showing that the low-VOC products have been installed such as invoices, receipts, delivery notes, etc.</v>
      </c>
    </row>
    <row r="78" spans="1:7" ht="51" x14ac:dyDescent="0.25">
      <c r="A78" s="1346" t="s">
        <v>1776</v>
      </c>
      <c r="B78" s="1339" t="s">
        <v>535</v>
      </c>
      <c r="C78" s="1339"/>
      <c r="D78" s="1339"/>
      <c r="E78" s="762" t="s">
        <v>1286</v>
      </c>
      <c r="F78" s="378" t="s">
        <v>2052</v>
      </c>
      <c r="G78" t="str">
        <f>IF('Project information'!$C$7="Pre-assessment stage",Submittals!B78,Submittals!F78)</f>
        <v>• For each low-VOC product, evidence showing that the products installed are low-VOC products such as manufacturer’s published data, certificate, test reports, etc.</v>
      </c>
    </row>
    <row r="79" spans="1:7" ht="42" customHeight="1" x14ac:dyDescent="0.25">
      <c r="A79" s="1348"/>
      <c r="B79" s="1339" t="s">
        <v>535</v>
      </c>
      <c r="C79" s="1339"/>
      <c r="D79" s="1339"/>
      <c r="E79" s="760" t="s">
        <v>51</v>
      </c>
      <c r="F79" s="378" t="s">
        <v>2053</v>
      </c>
      <c r="G79" t="str">
        <f>IF('Project information'!$C$7="Pre-assessment stage",Submittals!B79,Submittals!F79)</f>
        <v>• Evidence showing that the low-VOC products have been installed such as invoices, receipts, delivery notes, etc.</v>
      </c>
    </row>
    <row r="80" spans="1:7" ht="30" customHeight="1" x14ac:dyDescent="0.25">
      <c r="A80" s="1346" t="s">
        <v>1777</v>
      </c>
      <c r="B80" s="1339" t="s">
        <v>535</v>
      </c>
      <c r="C80" s="1339"/>
      <c r="D80" s="1339"/>
      <c r="E80" s="273"/>
      <c r="F80" s="378" t="s">
        <v>2054</v>
      </c>
      <c r="G80" t="str">
        <f>IF('Project information'!$C$7="Pre-assessment stage",Submittals!B80,Submittals!F80)</f>
        <v>• For each low-formaldehyde product, evidence showing that the products installed are low-formaldehyde products such as manufacturer’s published data, certificate, test reports, etc.</v>
      </c>
    </row>
    <row r="81" spans="1:7" ht="38.25" customHeight="1" x14ac:dyDescent="0.25">
      <c r="A81" s="1348"/>
      <c r="B81" s="1339" t="s">
        <v>535</v>
      </c>
      <c r="C81" s="1339"/>
      <c r="D81" s="1339"/>
      <c r="E81" s="273"/>
      <c r="F81" s="378" t="s">
        <v>2055</v>
      </c>
      <c r="G81" t="str">
        <f>IF('Project information'!$C$7="Pre-assessment stage",Submittals!B81,Submittals!F81)</f>
        <v>• Evidence showing that the low-formaldehyde products have been installed such as invoices, receipts, delivery notes, etc.</v>
      </c>
    </row>
    <row r="82" spans="1:7" ht="41.25" customHeight="1" x14ac:dyDescent="0.25">
      <c r="A82" s="1359" t="s">
        <v>31</v>
      </c>
      <c r="B82" s="1353" t="s">
        <v>535</v>
      </c>
      <c r="C82" s="1354"/>
      <c r="D82" s="1355"/>
      <c r="E82" s="368" t="s">
        <v>952</v>
      </c>
      <c r="F82" s="368" t="s">
        <v>951</v>
      </c>
      <c r="G82" t="str">
        <f>IF('Project information'!$C$7="Pre-assessment stage",Submittals!B82,Submittals!F82)</f>
        <v>• Evidence showing that the plants installed are suitable to indoor environments such as letter of confirmation from the plant supplier, published document, etc.</v>
      </c>
    </row>
    <row r="83" spans="1:7" ht="25.5" x14ac:dyDescent="0.25">
      <c r="A83" s="1360"/>
      <c r="B83" s="1339" t="s">
        <v>535</v>
      </c>
      <c r="C83" s="1339"/>
      <c r="D83" s="1339"/>
      <c r="E83" s="555" t="s">
        <v>51</v>
      </c>
      <c r="F83" s="368" t="s">
        <v>950</v>
      </c>
      <c r="G83" t="str">
        <f>IF('Project information'!$C$7="Pre-assessment stage",Submittals!B83,Submittals!F83)</f>
        <v>• Evidence showing the quantity and species of plants installed such as photographs, receipts, invoices, etc.</v>
      </c>
    </row>
    <row r="84" spans="1:7" ht="23.25" customHeight="1" x14ac:dyDescent="0.25">
      <c r="A84" s="1361" t="s">
        <v>33</v>
      </c>
      <c r="B84" s="1339" t="s">
        <v>535</v>
      </c>
      <c r="C84" s="1339"/>
      <c r="D84" s="1339"/>
      <c r="E84" s="628" t="s">
        <v>941</v>
      </c>
      <c r="F84" s="628" t="s">
        <v>1933</v>
      </c>
      <c r="G84" t="str">
        <f>IF('Project information'!$C$7="Pre-assessment stage",Submittals!B84,Submittals!F84)</f>
        <v>• Manufacturer’s published data showing that the cleaning products are environmentally friendly</v>
      </c>
    </row>
    <row r="85" spans="1:7" ht="23.25" customHeight="1" x14ac:dyDescent="0.25">
      <c r="A85" s="1362"/>
      <c r="B85" s="1339" t="s">
        <v>535</v>
      </c>
      <c r="C85" s="1339"/>
      <c r="D85" s="1339"/>
      <c r="E85" s="641" t="s">
        <v>51</v>
      </c>
      <c r="F85" s="1152" t="s">
        <v>1934</v>
      </c>
      <c r="G85" t="str">
        <f>IF('Project information'!$C$7="Pre-assessment stage",Submittals!B85,Submittals!F85)</f>
        <v>• Evidence showing that the cleaning products are used on the project such as invoices, receipts, purchase orders, etc.</v>
      </c>
    </row>
    <row r="86" spans="1:7" ht="25.5" x14ac:dyDescent="0.25">
      <c r="A86" s="1361" t="s">
        <v>1824</v>
      </c>
      <c r="B86" s="1339" t="s">
        <v>535</v>
      </c>
      <c r="C86" s="1339"/>
      <c r="D86" s="1339"/>
      <c r="E86" s="368" t="s">
        <v>684</v>
      </c>
      <c r="F86" s="368" t="s">
        <v>1822</v>
      </c>
      <c r="G86" t="str">
        <f>IF('Project information'!$C$7="Pre-assessment stage",Submittals!B86,Submittals!F86)</f>
        <v>• Plans and elevations outlining occupied spaces, daylit areas and indicating all glazing and its size</v>
      </c>
    </row>
    <row r="87" spans="1:7" ht="15" customHeight="1" x14ac:dyDescent="0.25">
      <c r="A87" s="1362"/>
      <c r="B87" s="1353" t="s">
        <v>535</v>
      </c>
      <c r="C87" s="1354"/>
      <c r="D87" s="1355"/>
      <c r="E87" s="722" t="s">
        <v>51</v>
      </c>
      <c r="F87" s="722" t="s">
        <v>2191</v>
      </c>
      <c r="G87" t="str">
        <f>IF('Project information'!$C$7="Pre-assessment stage",Submittals!B87,Submittals!F87)</f>
        <v>• Photographs showing glazing areas and spaces with daylighting</v>
      </c>
    </row>
    <row r="88" spans="1:7" ht="25.5" x14ac:dyDescent="0.25">
      <c r="A88" s="1361" t="s">
        <v>1825</v>
      </c>
      <c r="B88" s="1339" t="s">
        <v>535</v>
      </c>
      <c r="C88" s="1339"/>
      <c r="D88" s="1339"/>
      <c r="E88" s="1069" t="s">
        <v>684</v>
      </c>
      <c r="F88" s="1152" t="s">
        <v>2190</v>
      </c>
      <c r="G88" t="str">
        <f>IF('Project information'!$C$7="Pre-assessment stage",Submittals!B88,Submittals!F88)</f>
        <v>• Plans and elevations outlining occupied spaces, daylit areas and indicating all glazing areas</v>
      </c>
    </row>
    <row r="89" spans="1:7" x14ac:dyDescent="0.25">
      <c r="A89" s="1364"/>
      <c r="B89" s="1353" t="s">
        <v>535</v>
      </c>
      <c r="C89" s="1354"/>
      <c r="D89" s="1355"/>
      <c r="E89" s="1203" t="s">
        <v>51</v>
      </c>
      <c r="F89" s="1203" t="s">
        <v>2191</v>
      </c>
      <c r="G89" t="str">
        <f>IF('Project information'!$C$7="Pre-assessment stage",Submittals!B89,Submittals!F89)</f>
        <v>• Photographs showing glazing areas and spaces with daylighting</v>
      </c>
    </row>
    <row r="90" spans="1:7" ht="23.25" customHeight="1" x14ac:dyDescent="0.25">
      <c r="A90" s="1362"/>
      <c r="B90" s="1353" t="s">
        <v>535</v>
      </c>
      <c r="C90" s="1354"/>
      <c r="D90" s="1355"/>
      <c r="E90" s="1069" t="s">
        <v>51</v>
      </c>
      <c r="F90" s="1069" t="s">
        <v>1936</v>
      </c>
      <c r="G90" t="str">
        <f>IF('Project information'!$C$7="Pre-assessment stage",Submittals!B90,Submittals!F90)</f>
        <v>• If daylight factor daylight calculations have been made with a daylight modelling software, report indicating modelling software inputs and outputs</v>
      </c>
    </row>
    <row r="91" spans="1:7" ht="27.75" customHeight="1" x14ac:dyDescent="0.25">
      <c r="A91" s="1361" t="s">
        <v>1828</v>
      </c>
      <c r="B91" s="1339" t="s">
        <v>535</v>
      </c>
      <c r="C91" s="1339"/>
      <c r="D91" s="1339"/>
      <c r="E91" s="1064" t="s">
        <v>684</v>
      </c>
      <c r="F91" s="1064" t="s">
        <v>1937</v>
      </c>
      <c r="G91" t="str">
        <f>IF('Project information'!$C$7="Pre-assessment stage",Submittals!B91,Submittals!F91)</f>
        <v>• Floor plans showing all areas with direct lines of sight</v>
      </c>
    </row>
    <row r="92" spans="1:7" ht="27.75" customHeight="1" x14ac:dyDescent="0.25">
      <c r="A92" s="1364"/>
      <c r="B92" s="1339" t="s">
        <v>535</v>
      </c>
      <c r="C92" s="1339"/>
      <c r="D92" s="1339"/>
      <c r="E92" s="1152"/>
      <c r="F92" s="1152" t="s">
        <v>1938</v>
      </c>
      <c r="G92" t="str">
        <f>IF('Project information'!$C$7="Pre-assessment stage",Submittals!B92,Submittals!F92)</f>
        <v xml:space="preserve">• Sections and elevations showing the height and location of external views and the height of internal partitions </v>
      </c>
    </row>
    <row r="93" spans="1:7" ht="27.75" customHeight="1" x14ac:dyDescent="0.25">
      <c r="A93" s="1362"/>
      <c r="B93" s="1353" t="s">
        <v>535</v>
      </c>
      <c r="C93" s="1354"/>
      <c r="D93" s="1355"/>
      <c r="E93" s="1064" t="s">
        <v>51</v>
      </c>
      <c r="F93" s="1064" t="s">
        <v>1939</v>
      </c>
      <c r="G93" t="str">
        <f>IF('Project information'!$C$7="Pre-assessment stage",Submittals!B93,Submittals!F93)</f>
        <v>• Photographs showing the external views</v>
      </c>
    </row>
    <row r="94" spans="1:7" ht="25.5" x14ac:dyDescent="0.25">
      <c r="A94" s="1361" t="s">
        <v>1829</v>
      </c>
      <c r="B94" s="1339" t="s">
        <v>535</v>
      </c>
      <c r="C94" s="1339"/>
      <c r="D94" s="1339"/>
      <c r="E94" s="1069" t="s">
        <v>684</v>
      </c>
      <c r="F94" s="1069" t="s">
        <v>1940</v>
      </c>
      <c r="G94" t="str">
        <f>IF('Project information'!$C$7="Pre-assessment stage",Submittals!B94,Submittals!F94)</f>
        <v>• Floor plans showing all areas with quality views</v>
      </c>
    </row>
    <row r="95" spans="1:7" x14ac:dyDescent="0.25">
      <c r="A95" s="1362"/>
      <c r="B95" s="1353" t="s">
        <v>535</v>
      </c>
      <c r="C95" s="1354"/>
      <c r="D95" s="1355"/>
      <c r="E95" s="1069" t="s">
        <v>51</v>
      </c>
      <c r="F95" s="1069" t="s">
        <v>51</v>
      </c>
      <c r="G95" t="str">
        <f>IF('Project information'!$C$7="Pre-assessment stage",Submittals!B95,Submittals!F95)</f>
        <v>/</v>
      </c>
    </row>
    <row r="96" spans="1:7" ht="25.5" x14ac:dyDescent="0.25">
      <c r="A96" s="1359" t="s">
        <v>1778</v>
      </c>
      <c r="B96" s="1339" t="s">
        <v>535</v>
      </c>
      <c r="C96" s="1339"/>
      <c r="D96" s="1339"/>
      <c r="E96" s="368" t="s">
        <v>1241</v>
      </c>
      <c r="F96" s="368" t="s">
        <v>1943</v>
      </c>
      <c r="G96" t="str">
        <f>IF('Project information'!$C$7="Pre-assessment stage",Submittals!B96,Submittals!F96)</f>
        <v>• Plans indicating the location and number of thermal controls</v>
      </c>
    </row>
    <row r="97" spans="1:7" ht="25.5" x14ac:dyDescent="0.25">
      <c r="A97" s="1360"/>
      <c r="B97" s="1339" t="s">
        <v>535</v>
      </c>
      <c r="C97" s="1339"/>
      <c r="D97" s="1339"/>
      <c r="E97" s="762"/>
      <c r="F97" s="762" t="s">
        <v>1944</v>
      </c>
      <c r="G97" t="str">
        <f>IF('Project information'!$C$7="Pre-assessment stage",Submittals!B97,Submittals!F97)</f>
        <v>• Evidence showing that the thermal controls have been installed such as photographs, commissioning records, etc.</v>
      </c>
    </row>
    <row r="98" spans="1:7" ht="25.5" x14ac:dyDescent="0.25">
      <c r="A98" s="1346" t="s">
        <v>1779</v>
      </c>
      <c r="B98" s="1339" t="s">
        <v>535</v>
      </c>
      <c r="C98" s="1339"/>
      <c r="D98" s="1339"/>
      <c r="E98" s="762" t="s">
        <v>1287</v>
      </c>
      <c r="F98" s="762" t="s">
        <v>1945</v>
      </c>
      <c r="G98" t="str">
        <f>IF('Project information'!$C$7="Pre-assessment stage",Submittals!B98,Submittals!F98)</f>
        <v xml:space="preserve">• Calculations showing compliance with the strategies pursued to limit heat gains and to enhance air velocity. </v>
      </c>
    </row>
    <row r="99" spans="1:7" ht="38.25" x14ac:dyDescent="0.25">
      <c r="A99" s="1348"/>
      <c r="B99" s="1339" t="s">
        <v>535</v>
      </c>
      <c r="C99" s="1339"/>
      <c r="D99" s="1339"/>
      <c r="E99" s="762" t="s">
        <v>677</v>
      </c>
      <c r="F99" s="762" t="s">
        <v>1946</v>
      </c>
      <c r="G99" t="str">
        <f>IF('Project information'!$C$7="Pre-assessment stage",Submittals!B99,Submittals!F99)</f>
        <v>• Narrative demonstrating that the strategies implemented effectively improve thermal comfort in the non-air-conditioned spaces. This can include a survey of the building occupants if the building has been occupied during one hot season.</v>
      </c>
    </row>
    <row r="100" spans="1:7" ht="25.5" x14ac:dyDescent="0.25">
      <c r="A100" s="1346" t="s">
        <v>2401</v>
      </c>
      <c r="B100" s="1339" t="s">
        <v>535</v>
      </c>
      <c r="C100" s="1339"/>
      <c r="D100" s="1339"/>
      <c r="E100" s="1064"/>
      <c r="F100" s="1064" t="s">
        <v>754</v>
      </c>
      <c r="G100" t="str">
        <f>IF('Project information'!$C$7="Pre-assessment stage",Submittals!B100,Submittals!F100)</f>
        <v>• Flush-out report including a description of the flush-out procedure implemented and a logbook with date, outdoor delivery rates, flushing duration, internal temperature, humidity;</v>
      </c>
    </row>
    <row r="101" spans="1:7" x14ac:dyDescent="0.25">
      <c r="A101" s="1348"/>
      <c r="B101" s="1339" t="s">
        <v>535</v>
      </c>
      <c r="C101" s="1339"/>
      <c r="D101" s="1339"/>
      <c r="E101" s="1064"/>
      <c r="F101" s="1064" t="s">
        <v>755</v>
      </c>
      <c r="G101" t="str">
        <f>IF('Project information'!$C$7="Pre-assessment stage",Submittals!B101,Submittals!F101)</f>
        <v>• Evidence that the flush-out was implemented such as photographs, etc.</v>
      </c>
    </row>
    <row r="102" spans="1:7" ht="25.5" x14ac:dyDescent="0.25">
      <c r="A102" s="1346" t="s">
        <v>2401</v>
      </c>
      <c r="B102" s="1339" t="s">
        <v>535</v>
      </c>
      <c r="C102" s="1339"/>
      <c r="D102" s="1339"/>
      <c r="E102" s="1064"/>
      <c r="F102" s="1064" t="s">
        <v>683</v>
      </c>
      <c r="G102" t="str">
        <f>IF('Project information'!$C$7="Pre-assessment stage",Submittals!B102,Submittals!F102)</f>
        <v>• Evidence that dust, dirt and mould have been removed from all accessible supply air ductwork prior to occupancy such as cleaning contract, photographs, etc.</v>
      </c>
    </row>
    <row r="103" spans="1:7" x14ac:dyDescent="0.25">
      <c r="A103" s="1348"/>
      <c r="B103" s="1339" t="s">
        <v>535</v>
      </c>
      <c r="C103" s="1339"/>
      <c r="D103" s="1339"/>
      <c r="E103" s="1064"/>
      <c r="F103" s="1064" t="s">
        <v>51</v>
      </c>
      <c r="G103" t="str">
        <f>IF('Project information'!$C$7="Pre-assessment stage",Submittals!B103,Submittals!F103)</f>
        <v>/</v>
      </c>
    </row>
    <row r="104" spans="1:7" ht="28.5" x14ac:dyDescent="0.25">
      <c r="A104" s="1346" t="s">
        <v>2402</v>
      </c>
      <c r="B104" s="1339" t="s">
        <v>535</v>
      </c>
      <c r="C104" s="1339"/>
      <c r="D104" s="1339"/>
      <c r="E104" s="1064"/>
      <c r="F104" s="1064" t="s">
        <v>2017</v>
      </c>
      <c r="G104" t="str">
        <f>IF('Project information'!$C$7="Pre-assessment stage",Submittals!B104,Submittals!F104)</f>
        <v>• Extract of an operation and maintenance manual indicating the procedures for operation, adjustment and maintenance of the CO2 monitoring system</v>
      </c>
    </row>
    <row r="105" spans="1:7" ht="28.5" x14ac:dyDescent="0.25">
      <c r="A105" s="1348"/>
      <c r="B105" s="1339" t="s">
        <v>535</v>
      </c>
      <c r="C105" s="1339"/>
      <c r="D105" s="1339"/>
      <c r="E105" s="1064"/>
      <c r="F105" s="1064" t="s">
        <v>2018</v>
      </c>
      <c r="G105" t="str">
        <f>IF('Project information'!$C$7="Pre-assessment stage",Submittals!B105,Submittals!F105)</f>
        <v>• Evidence of the CO2 monitoring system equipment installed, such as photographs, invoices, receipts, commissioning report, etc.</v>
      </c>
    </row>
    <row r="106" spans="1:7" x14ac:dyDescent="0.25">
      <c r="A106" s="1346" t="s">
        <v>2403</v>
      </c>
      <c r="B106" s="1339" t="s">
        <v>535</v>
      </c>
      <c r="C106" s="1339"/>
      <c r="D106" s="1339"/>
      <c r="E106" s="1242"/>
      <c r="F106" s="1284" t="s">
        <v>2408</v>
      </c>
      <c r="G106" t="str">
        <f>IF('Project information'!$C$7="Pre-assessment stage",Submittals!B106,Submittals!F106)</f>
        <v>• Manufacturer's published data showing the air filtration level of the supply air filters installed</v>
      </c>
    </row>
    <row r="107" spans="1:7" ht="25.5" x14ac:dyDescent="0.25">
      <c r="A107" s="1348"/>
      <c r="B107" s="1339" t="s">
        <v>535</v>
      </c>
      <c r="C107" s="1339"/>
      <c r="D107" s="1339"/>
      <c r="E107" s="1242"/>
      <c r="F107" s="1284" t="s">
        <v>2409</v>
      </c>
      <c r="G107" t="str">
        <f>IF('Project information'!$C$7="Pre-assessment stage",Submittals!B107,Submittals!F107)</f>
        <v>• Evidence of the supply air filters installed, such as photographs, invoices, receipts, commissioning report, etc.</v>
      </c>
    </row>
    <row r="108" spans="1:7" x14ac:dyDescent="0.25">
      <c r="A108" s="1346" t="s">
        <v>2404</v>
      </c>
      <c r="B108" s="1339" t="s">
        <v>535</v>
      </c>
      <c r="C108" s="1339"/>
      <c r="D108" s="1339"/>
      <c r="E108" s="1064"/>
      <c r="F108" s="1064" t="s">
        <v>1680</v>
      </c>
      <c r="G108" t="str">
        <f>IF('Project information'!$C$7="Pre-assessment stage",Submittals!B108,Submittals!F108)</f>
        <v>• Technical data of the lighting fixtures showing lumen output</v>
      </c>
    </row>
    <row r="109" spans="1:7" ht="25.5" x14ac:dyDescent="0.25">
      <c r="A109" s="1348"/>
      <c r="B109" s="1339" t="s">
        <v>535</v>
      </c>
      <c r="C109" s="1339"/>
      <c r="D109" s="1339"/>
      <c r="E109" s="1064"/>
      <c r="F109" s="1064" t="s">
        <v>1681</v>
      </c>
      <c r="G109" t="str">
        <f>IF('Project information'!$C$7="Pre-assessment stage",Submittals!B109,Submittals!F109)</f>
        <v>• Evidence showing that the lighting fixtures were installed such as photographs, electrical drawings, invoices, etc.</v>
      </c>
    </row>
    <row r="110" spans="1:7" x14ac:dyDescent="0.25">
      <c r="A110" s="1346" t="s">
        <v>2407</v>
      </c>
      <c r="B110" s="1339" t="s">
        <v>535</v>
      </c>
      <c r="C110" s="1339"/>
      <c r="D110" s="1339"/>
      <c r="E110" s="1064"/>
      <c r="F110" s="1064" t="s">
        <v>1682</v>
      </c>
      <c r="G110" t="str">
        <f>IF('Project information'!$C$7="Pre-assessment stage",Submittals!B110,Submittals!F110)</f>
        <v>• Noise levels measurements showing compliance with TCXDVN 175:2005</v>
      </c>
    </row>
    <row r="111" spans="1:7" x14ac:dyDescent="0.25">
      <c r="A111" s="1348"/>
      <c r="B111" s="1339" t="s">
        <v>535</v>
      </c>
      <c r="C111" s="1339"/>
      <c r="D111" s="1339"/>
      <c r="E111" s="1064"/>
      <c r="F111" s="1064"/>
      <c r="G111">
        <f>IF('Project information'!$C$7="Pre-assessment stage",Submittals!B111,Submittals!F111)</f>
        <v>0</v>
      </c>
    </row>
    <row r="112" spans="1:7" x14ac:dyDescent="0.25">
      <c r="A112" s="1346" t="s">
        <v>2406</v>
      </c>
      <c r="B112" s="1339" t="s">
        <v>535</v>
      </c>
      <c r="C112" s="1339"/>
      <c r="D112" s="1339"/>
      <c r="E112" s="1064"/>
      <c r="F112" s="1064" t="s">
        <v>984</v>
      </c>
      <c r="G112" t="str">
        <f>IF('Project information'!$C$7="Pre-assessment stage",Submittals!B112,Submittals!F112)</f>
        <v>• Results of the calculations of the reverberation time</v>
      </c>
    </row>
    <row r="113" spans="1:7" ht="25.5" x14ac:dyDescent="0.25">
      <c r="A113" s="1348"/>
      <c r="B113" s="1339" t="s">
        <v>535</v>
      </c>
      <c r="C113" s="1339"/>
      <c r="D113" s="1339"/>
      <c r="E113" s="1064"/>
      <c r="F113" s="1064" t="s">
        <v>985</v>
      </c>
      <c r="G113" t="str">
        <f>IF('Project information'!$C$7="Pre-assessment stage",Submittals!B113,Submittals!F113)</f>
        <v>• Evidence showing that the materials used in the calculations were installed such as photographs, invoices, etc.</v>
      </c>
    </row>
    <row r="114" spans="1:7" ht="25.5" x14ac:dyDescent="0.25">
      <c r="A114" s="1346" t="s">
        <v>2405</v>
      </c>
      <c r="B114" s="1339" t="s">
        <v>535</v>
      </c>
      <c r="C114" s="1339"/>
      <c r="D114" s="1339"/>
      <c r="E114" s="1064" t="s">
        <v>1055</v>
      </c>
      <c r="F114" s="1064" t="s">
        <v>1056</v>
      </c>
      <c r="G114" t="str">
        <f>IF('Project information'!$C$7="Pre-assessment stage",Submittals!B114,Submittals!F114)</f>
        <v xml:space="preserve">• Results of the post-occupancy comfort survey </v>
      </c>
    </row>
    <row r="115" spans="1:7" x14ac:dyDescent="0.25">
      <c r="A115" s="1348"/>
      <c r="B115" s="1339" t="s">
        <v>535</v>
      </c>
      <c r="C115" s="1339"/>
      <c r="D115" s="1339"/>
      <c r="E115" s="1064" t="s">
        <v>51</v>
      </c>
      <c r="F115" s="1064" t="s">
        <v>1057</v>
      </c>
      <c r="G115" t="str">
        <f>IF('Project information'!$C$7="Pre-assessment stage",Submittals!B115,Submittals!F115)</f>
        <v>• Evidence that the measurements and corrective actions have been undertaken</v>
      </c>
    </row>
    <row r="116" spans="1:7" ht="25.5" x14ac:dyDescent="0.25">
      <c r="A116" s="1349" t="s">
        <v>1876</v>
      </c>
      <c r="B116" s="1339" t="s">
        <v>535</v>
      </c>
      <c r="C116" s="1339"/>
      <c r="D116" s="1339"/>
      <c r="E116" s="1144" t="s">
        <v>742</v>
      </c>
      <c r="F116" s="1144" t="s">
        <v>1878</v>
      </c>
      <c r="G116" t="str">
        <f>IF('Project information'!$C$7="Pre-assessment stage",Submittals!B116,Submittals!F116)</f>
        <v>• Copy of the certificate showing that the base building is certified under a recognised green building certification system</v>
      </c>
    </row>
    <row r="117" spans="1:7" x14ac:dyDescent="0.25">
      <c r="A117" s="1350"/>
      <c r="B117" s="1339" t="s">
        <v>535</v>
      </c>
      <c r="C117" s="1339"/>
      <c r="D117" s="1339"/>
      <c r="E117" s="1144" t="s">
        <v>51</v>
      </c>
      <c r="F117" s="1144" t="s">
        <v>51</v>
      </c>
      <c r="G117" t="str">
        <f>IF('Project information'!$C$7="Pre-assessment stage",Submittals!B117,Submittals!F117)</f>
        <v>/</v>
      </c>
    </row>
    <row r="118" spans="1:7" ht="25.5" x14ac:dyDescent="0.25">
      <c r="A118" s="1349" t="s">
        <v>1877</v>
      </c>
      <c r="B118" s="1339" t="s">
        <v>535</v>
      </c>
      <c r="C118" s="1339"/>
      <c r="D118" s="1339"/>
      <c r="E118" s="526" t="s">
        <v>742</v>
      </c>
      <c r="F118" s="526" t="s">
        <v>1923</v>
      </c>
      <c r="G118" t="str">
        <f>IF('Project information'!$C$7="Pre-assessment stage",Submittals!B118,Submittals!F118)</f>
        <v>• Evidence showing that the base building complies with the requirements such as plans, photographs, letter of confirmation from base building, etc.</v>
      </c>
    </row>
    <row r="119" spans="1:7" x14ac:dyDescent="0.25">
      <c r="A119" s="1350"/>
      <c r="B119" s="1339" t="s">
        <v>535</v>
      </c>
      <c r="C119" s="1339"/>
      <c r="D119" s="1339"/>
      <c r="E119" s="368" t="s">
        <v>51</v>
      </c>
      <c r="F119" s="368" t="s">
        <v>51</v>
      </c>
      <c r="G119" t="str">
        <f>IF('Project information'!$C$7="Pre-assessment stage",Submittals!B119,Submittals!F119)</f>
        <v>/</v>
      </c>
    </row>
    <row r="120" spans="1:7" ht="19.5" customHeight="1" x14ac:dyDescent="0.25">
      <c r="A120" s="1265" t="s">
        <v>797</v>
      </c>
      <c r="B120" s="1339" t="s">
        <v>535</v>
      </c>
      <c r="C120" s="1339"/>
      <c r="D120" s="1339"/>
      <c r="E120" s="568" t="s">
        <v>1048</v>
      </c>
      <c r="F120" s="368" t="s">
        <v>1048</v>
      </c>
      <c r="G120" t="str">
        <f>IF('Project information'!$C$7="Pre-assessment stage",Submittals!B120,Submittals!F120)</f>
        <v>• Copy (or extracts) of the lease agreement showing the fixed term period of the lease</v>
      </c>
    </row>
    <row r="121" spans="1:7" ht="38.25" x14ac:dyDescent="0.25">
      <c r="A121" s="1265" t="s">
        <v>796</v>
      </c>
      <c r="B121" s="1339" t="s">
        <v>535</v>
      </c>
      <c r="C121" s="1339"/>
      <c r="D121" s="1339"/>
      <c r="E121" s="653" t="s">
        <v>1282</v>
      </c>
      <c r="F121" s="753" t="s">
        <v>1924</v>
      </c>
      <c r="G121" t="str">
        <f>IF('Project information'!$C$7="Pre-assessment stage",Submittals!B121,Submittals!F121)</f>
        <v>• Copy (or extracts) of the lease agreement showing the elements specific to a Green lease - OR - copy of a signed agreement between the landlord and tenant following LOTUS requirements</v>
      </c>
    </row>
    <row r="122" spans="1:7" x14ac:dyDescent="0.25">
      <c r="A122" s="1349" t="s">
        <v>270</v>
      </c>
      <c r="B122" s="1339" t="s">
        <v>535</v>
      </c>
      <c r="C122" s="1339"/>
      <c r="D122" s="1339"/>
      <c r="E122" s="438" t="s">
        <v>685</v>
      </c>
      <c r="F122" s="438" t="s">
        <v>688</v>
      </c>
      <c r="G122" t="str">
        <f>IF('Project information'!$C$7="Pre-assessment stage",Submittals!B122,Submittals!F122)</f>
        <v>• As-built plans indicating location of public transport information</v>
      </c>
    </row>
    <row r="123" spans="1:7" x14ac:dyDescent="0.25">
      <c r="A123" s="1350"/>
      <c r="B123" s="1339" t="s">
        <v>535</v>
      </c>
      <c r="C123" s="1339"/>
      <c r="D123" s="1339"/>
      <c r="E123" s="438" t="s">
        <v>1046</v>
      </c>
      <c r="F123" s="438" t="s">
        <v>689</v>
      </c>
      <c r="G123" t="str">
        <f>IF('Project information'!$C$7="Pre-assessment stage",Submittals!B123,Submittals!F123)</f>
        <v>• Photographs showing that the information is displayed</v>
      </c>
    </row>
    <row r="124" spans="1:7" ht="25.5" x14ac:dyDescent="0.25">
      <c r="A124" s="1349" t="s">
        <v>613</v>
      </c>
      <c r="B124" s="1339" t="s">
        <v>535</v>
      </c>
      <c r="C124" s="1339"/>
      <c r="D124" s="1339"/>
      <c r="E124" s="368" t="s">
        <v>1039</v>
      </c>
      <c r="F124" s="368" t="s">
        <v>1039</v>
      </c>
      <c r="G124" t="str">
        <f>IF('Project information'!$C$7="Pre-assessment stage",Submittals!B124,Submittals!F124)</f>
        <v>• Plans indicating location, size and capacity of parking spaces, showering facilities and lockers</v>
      </c>
    </row>
    <row r="125" spans="1:7" x14ac:dyDescent="0.25">
      <c r="A125" s="1350"/>
      <c r="B125" s="1339" t="s">
        <v>535</v>
      </c>
      <c r="C125" s="1339"/>
      <c r="D125" s="1339"/>
      <c r="E125" s="653" t="s">
        <v>51</v>
      </c>
      <c r="F125" s="368" t="s">
        <v>1040</v>
      </c>
      <c r="G125" t="str">
        <f>IF('Project information'!$C$7="Pre-assessment stage",Submittals!B125,Submittals!F125)</f>
        <v>• Photographs of the parking spaces, showering facilities and lockers</v>
      </c>
    </row>
    <row r="126" spans="1:7" ht="25.5" x14ac:dyDescent="0.25">
      <c r="A126" s="1349" t="s">
        <v>614</v>
      </c>
      <c r="B126" s="1339" t="s">
        <v>535</v>
      </c>
      <c r="C126" s="1339"/>
      <c r="D126" s="1339"/>
      <c r="E126" s="438" t="s">
        <v>686</v>
      </c>
      <c r="F126" s="438" t="s">
        <v>686</v>
      </c>
      <c r="G126" t="str">
        <f>IF('Project information'!$C$7="Pre-assessment stage",Submittals!B126,Submittals!F126)</f>
        <v>• Plans or maps indicating location of public transport stops within a 500 m or a 700 m walking distance of the site</v>
      </c>
    </row>
    <row r="127" spans="1:7" ht="25.5" x14ac:dyDescent="0.25">
      <c r="A127" s="1350"/>
      <c r="B127" s="1339" t="s">
        <v>535</v>
      </c>
      <c r="C127" s="1339"/>
      <c r="D127" s="1339"/>
      <c r="E127" s="438" t="s">
        <v>687</v>
      </c>
      <c r="F127" s="438" t="s">
        <v>687</v>
      </c>
      <c r="G127" t="str">
        <f>IF('Project information'!$C$7="Pre-assessment stage",Submittals!B127,Submittals!F127)</f>
        <v>• Documentation indicating the number of public transport routes by which the stops are serviced</v>
      </c>
    </row>
    <row r="128" spans="1:7" ht="25.5" x14ac:dyDescent="0.25">
      <c r="A128" s="1349" t="s">
        <v>615</v>
      </c>
      <c r="B128" s="1339" t="s">
        <v>535</v>
      </c>
      <c r="C128" s="1339"/>
      <c r="D128" s="1339"/>
      <c r="E128" s="677" t="s">
        <v>1044</v>
      </c>
      <c r="F128" s="653" t="s">
        <v>1045</v>
      </c>
      <c r="G128" t="str">
        <f>IF('Project information'!$C$7="Pre-assessment stage",Submittals!B128,Submittals!F128)</f>
        <v>• Evidence showing the implementation of the green transportation program, such as photographs, building policies, receipts, etc.</v>
      </c>
    </row>
    <row r="129" spans="1:7" x14ac:dyDescent="0.25">
      <c r="A129" s="1350"/>
      <c r="B129" s="1339" t="s">
        <v>535</v>
      </c>
      <c r="C129" s="1339"/>
      <c r="D129" s="1339"/>
      <c r="E129" s="677" t="s">
        <v>51</v>
      </c>
      <c r="F129" s="653"/>
      <c r="G129">
        <f>IF('Project information'!$C$7="Pre-assessment stage",Submittals!B129,Submittals!F129)</f>
        <v>0</v>
      </c>
    </row>
    <row r="130" spans="1:7" ht="38.25" x14ac:dyDescent="0.25">
      <c r="A130" s="1356" t="s">
        <v>2344</v>
      </c>
      <c r="B130" s="1339" t="s">
        <v>535</v>
      </c>
      <c r="C130" s="1339"/>
      <c r="D130" s="1339"/>
      <c r="E130" s="628" t="s">
        <v>938</v>
      </c>
      <c r="F130" s="554" t="s">
        <v>2026</v>
      </c>
      <c r="G130" t="str">
        <f>IF('Project information'!$C$7="Pre-assessment stage",Submittals!B130,Submittals!F130)</f>
        <v>If no refrigerant is used or only in systems using less than 250 grams of refrigerant:
• Document indicating that no system using refrigerants were installed by the project such as letter from tenant, etc.</v>
      </c>
    </row>
    <row r="131" spans="1:7" ht="38.25" x14ac:dyDescent="0.25">
      <c r="A131" s="1357"/>
      <c r="B131" s="1339" t="s">
        <v>535</v>
      </c>
      <c r="C131" s="1339"/>
      <c r="D131" s="1339"/>
      <c r="E131" s="628" t="s">
        <v>939</v>
      </c>
      <c r="F131" s="628" t="s">
        <v>2027</v>
      </c>
      <c r="G131" t="str">
        <f>IF('Project information'!$C$7="Pre-assessment stage",Submittals!B131,Submittals!F131)</f>
        <v>If low-impact refrigerants are used:
• Manufacturer’s published data indicating the proposed types of systems with the type of low-impact refrigerants used</v>
      </c>
    </row>
    <row r="132" spans="1:7" ht="38.25" x14ac:dyDescent="0.25">
      <c r="A132" s="1358"/>
      <c r="B132" s="1339" t="s">
        <v>535</v>
      </c>
      <c r="C132" s="1339"/>
      <c r="D132" s="1339"/>
      <c r="E132" s="554" t="s">
        <v>779</v>
      </c>
      <c r="F132" s="554" t="s">
        <v>2028</v>
      </c>
      <c r="G132" t="str">
        <f>IF('Project information'!$C$7="Pre-assessment stage",Submittals!B132,Submittals!F132)</f>
        <v>If low-impact refrigerants are used:
• Evidence of the equipment with low-impact refrigerants installed, such as photographs, invoices, receipts, commissioning report, etc.</v>
      </c>
    </row>
    <row r="133" spans="1:7" ht="25.5" x14ac:dyDescent="0.25">
      <c r="A133" s="1356" t="s">
        <v>2345</v>
      </c>
      <c r="B133" s="1339" t="s">
        <v>535</v>
      </c>
      <c r="C133" s="1339"/>
      <c r="D133" s="1339"/>
      <c r="E133" s="554" t="s">
        <v>777</v>
      </c>
      <c r="F133" s="554" t="s">
        <v>776</v>
      </c>
      <c r="G133" t="str">
        <f>IF('Project information'!$C$7="Pre-assessment stage",Submittals!B133,Submittals!F133)</f>
        <v xml:space="preserve">• Manufacturer’s published data indicating the proposed types of systems with the type and volume of refrigerants used </v>
      </c>
    </row>
    <row r="134" spans="1:7" ht="25.5" x14ac:dyDescent="0.25">
      <c r="A134" s="1358"/>
      <c r="B134" s="1339" t="s">
        <v>535</v>
      </c>
      <c r="C134" s="1339"/>
      <c r="D134" s="1339"/>
      <c r="E134" s="554" t="s">
        <v>779</v>
      </c>
      <c r="F134" s="554" t="s">
        <v>817</v>
      </c>
      <c r="G134" t="str">
        <f>IF('Project information'!$C$7="Pre-assessment stage",Submittals!B134,Submittals!F134)</f>
        <v>• Evidence of the HVAC equipment installed, such as photographs, invoices, receipts, commissioning report, etc.</v>
      </c>
    </row>
    <row r="135" spans="1:7" ht="25.5" x14ac:dyDescent="0.25">
      <c r="A135" s="1356" t="s">
        <v>2346</v>
      </c>
      <c r="B135" s="1339" t="s">
        <v>535</v>
      </c>
      <c r="C135" s="1339"/>
      <c r="D135" s="1339"/>
      <c r="E135" s="554" t="s">
        <v>777</v>
      </c>
      <c r="F135" s="554" t="s">
        <v>2024</v>
      </c>
      <c r="G135" t="str">
        <f>IF('Project information'!$C$7="Pre-assessment stage",Submittals!B135,Submittals!F135)</f>
        <v>• Manufacturer’s published data indicating the proposed types of systems with the type and volume of refrigerants used</v>
      </c>
    </row>
    <row r="136" spans="1:7" ht="25.5" x14ac:dyDescent="0.25">
      <c r="A136" s="1358"/>
      <c r="B136" s="1339" t="s">
        <v>535</v>
      </c>
      <c r="C136" s="1339"/>
      <c r="D136" s="1339"/>
      <c r="E136" s="554" t="s">
        <v>778</v>
      </c>
      <c r="F136" s="554" t="s">
        <v>2025</v>
      </c>
      <c r="G136" t="str">
        <f>IF('Project information'!$C$7="Pre-assessment stage",Submittals!B136,Submittals!F136)</f>
        <v>• Evidence of the HVAC/R equipment installed, such as photographs, invoices, receipts, commissioning report, etc.</v>
      </c>
    </row>
    <row r="137" spans="1:7" ht="40.5" customHeight="1" x14ac:dyDescent="0.25">
      <c r="A137" s="1349" t="s">
        <v>1925</v>
      </c>
      <c r="B137" s="1339" t="s">
        <v>535</v>
      </c>
      <c r="C137" s="1339"/>
      <c r="D137" s="1339"/>
      <c r="E137" s="568" t="s">
        <v>801</v>
      </c>
      <c r="F137" s="438" t="s">
        <v>1926</v>
      </c>
      <c r="G137" t="str">
        <f>IF('Project information'!$C$7="Pre-assessment stage",Submittals!B137,Submittals!F137)</f>
        <v>For facilities and amenities located in the project space:
• Floor plans showing the location of facilities and amenities</v>
      </c>
    </row>
    <row r="138" spans="1:7" ht="51" customHeight="1" x14ac:dyDescent="0.25">
      <c r="A138" s="1363"/>
      <c r="B138" s="1339" t="s">
        <v>535</v>
      </c>
      <c r="C138" s="1339"/>
      <c r="D138" s="1339"/>
      <c r="E138" s="1152"/>
      <c r="F138" s="1152" t="s">
        <v>1927</v>
      </c>
      <c r="G138" t="str">
        <f>IF('Project information'!$C$7="Pre-assessment stage",Submittals!B138,Submittals!F138)</f>
        <v>For facilities and amenities located in the base building:
• Evidence showing that the facilities and amenities are accessible to all the occupants of the project space such as lease agreement, letter of conformation from the owner of the base building, etc.</v>
      </c>
    </row>
    <row r="139" spans="1:7" x14ac:dyDescent="0.25">
      <c r="A139" s="1350"/>
      <c r="B139" s="1339" t="s">
        <v>535</v>
      </c>
      <c r="C139" s="1339"/>
      <c r="D139" s="1339"/>
      <c r="E139" s="568" t="s">
        <v>51</v>
      </c>
      <c r="F139" s="438" t="s">
        <v>690</v>
      </c>
      <c r="G139" t="str">
        <f>IF('Project information'!$C$7="Pre-assessment stage",Submittals!B139,Submittals!F139)</f>
        <v>• Photographs showing the facilities and amenities</v>
      </c>
    </row>
    <row r="140" spans="1:7" ht="24.75" customHeight="1" x14ac:dyDescent="0.25">
      <c r="A140" s="1340" t="s">
        <v>1751</v>
      </c>
      <c r="B140" s="1339" t="s">
        <v>535</v>
      </c>
      <c r="C140" s="1339"/>
      <c r="D140" s="1339"/>
      <c r="E140" s="368"/>
      <c r="F140" s="368" t="s">
        <v>1911</v>
      </c>
      <c r="G140" t="str">
        <f>IF('Project information'!$C$7="Pre-assessment stage",Submittals!B140,Submittals!F140)</f>
        <v>• Evidence showing each mitigation measure implemented to reduce IAQ impacts such as photographs, etc.</v>
      </c>
    </row>
    <row r="141" spans="1:7" ht="15" customHeight="1" x14ac:dyDescent="0.25">
      <c r="A141" s="1341"/>
      <c r="B141" s="1339" t="s">
        <v>535</v>
      </c>
      <c r="C141" s="1339"/>
      <c r="D141" s="1339"/>
      <c r="E141" s="368"/>
      <c r="F141" s="368"/>
      <c r="G141">
        <f>IF('Project information'!$C$7="Pre-assessment stage",Submittals!B141,Submittals!F141)</f>
        <v>0</v>
      </c>
    </row>
    <row r="142" spans="1:7" ht="15" customHeight="1" x14ac:dyDescent="0.25">
      <c r="A142" s="1340" t="s">
        <v>1752</v>
      </c>
      <c r="B142" s="1339" t="s">
        <v>535</v>
      </c>
      <c r="C142" s="1339"/>
      <c r="D142" s="1339"/>
      <c r="E142" s="644" t="s">
        <v>966</v>
      </c>
      <c r="F142" s="644" t="s">
        <v>966</v>
      </c>
      <c r="G142" t="str">
        <f>IF('Project information'!$C$7="Pre-assessment stage",Submittals!B142,Submittals!F142)</f>
        <v>• Copy of the ISO 14001 certificate of the main contractor</v>
      </c>
    </row>
    <row r="143" spans="1:7" ht="15" customHeight="1" x14ac:dyDescent="0.25">
      <c r="A143" s="1341"/>
      <c r="B143" s="1339" t="s">
        <v>535</v>
      </c>
      <c r="C143" s="1339"/>
      <c r="D143" s="1339"/>
      <c r="E143" s="644" t="s">
        <v>51</v>
      </c>
      <c r="F143" s="644" t="s">
        <v>51</v>
      </c>
      <c r="G143" t="str">
        <f>IF('Project information'!$C$7="Pre-assessment stage",Submittals!B143,Submittals!F143)</f>
        <v>/</v>
      </c>
    </row>
    <row r="144" spans="1:7" ht="15" customHeight="1" x14ac:dyDescent="0.25">
      <c r="A144" s="1340" t="s">
        <v>1754</v>
      </c>
      <c r="B144" s="1339" t="s">
        <v>535</v>
      </c>
      <c r="C144" s="1339"/>
      <c r="D144" s="1339"/>
      <c r="E144" s="604" t="s">
        <v>535</v>
      </c>
      <c r="F144" s="604" t="s">
        <v>887</v>
      </c>
      <c r="G144" t="str">
        <f>IF('Project information'!$C$7="Pre-assessment stage",Submittals!B144,Submittals!F144)</f>
        <v>• Evidence showing each measure implemented such as photographs, etc.</v>
      </c>
    </row>
    <row r="145" spans="1:7" ht="15" customHeight="1" x14ac:dyDescent="0.25">
      <c r="A145" s="1341"/>
      <c r="B145" s="1339" t="s">
        <v>535</v>
      </c>
      <c r="C145" s="1339"/>
      <c r="D145" s="1339"/>
      <c r="E145" s="604" t="s">
        <v>535</v>
      </c>
      <c r="F145" s="604" t="s">
        <v>51</v>
      </c>
      <c r="G145" t="str">
        <f>IF('Project information'!$C$7="Pre-assessment stage",Submittals!B145,Submittals!F145)</f>
        <v>/</v>
      </c>
    </row>
    <row r="146" spans="1:7" ht="21.75" customHeight="1" x14ac:dyDescent="0.25">
      <c r="A146" s="1340" t="s">
        <v>1753</v>
      </c>
      <c r="B146" s="1339" t="s">
        <v>535</v>
      </c>
      <c r="C146" s="1339"/>
      <c r="D146" s="1339"/>
      <c r="E146" s="604"/>
      <c r="F146" s="604" t="s">
        <v>2325</v>
      </c>
      <c r="G146" t="str">
        <f>IF('Project information'!$C$7="Pre-assessment stage",Submittals!B146,Submittals!F146)</f>
        <v>• Evidence showing the provision of toilets, washing facilities, drinking water and one other site
amenities during construction such as photographs, etc.</v>
      </c>
    </row>
    <row r="147" spans="1:7" ht="20.25" customHeight="1" x14ac:dyDescent="0.25">
      <c r="A147" s="1341"/>
      <c r="B147" s="1339" t="s">
        <v>535</v>
      </c>
      <c r="C147" s="1339"/>
      <c r="D147" s="1339"/>
      <c r="E147" s="604"/>
      <c r="F147" s="1146" t="s">
        <v>2324</v>
      </c>
      <c r="G147" t="str">
        <f>IF('Project information'!$C$7="Pre-assessment stage",Submittals!B147,Submittals!F147)</f>
        <v>• Evidence showing each strategy implemented to provide safety and welfare for construction
workers such as photographs, etc.</v>
      </c>
    </row>
    <row r="148" spans="1:7" x14ac:dyDescent="0.25">
      <c r="A148" s="1340" t="s">
        <v>259</v>
      </c>
      <c r="B148" s="1339" t="s">
        <v>535</v>
      </c>
      <c r="C148" s="1339"/>
      <c r="D148" s="1339"/>
      <c r="E148" s="766"/>
      <c r="F148" s="766" t="s">
        <v>1899</v>
      </c>
      <c r="G148" t="str">
        <f>IF('Project information'!$C$7="Pre-assessment stage",Submittals!B148,Submittals!F148)</f>
        <v>• Commissioning records showing results of all the tests performed</v>
      </c>
    </row>
    <row r="149" spans="1:7" x14ac:dyDescent="0.25">
      <c r="A149" s="1341"/>
      <c r="B149" s="1339" t="s">
        <v>535</v>
      </c>
      <c r="C149" s="1339"/>
      <c r="D149" s="1339"/>
      <c r="E149" s="766"/>
      <c r="F149" s="1146" t="s">
        <v>51</v>
      </c>
      <c r="G149" t="str">
        <f>IF('Project information'!$C$7="Pre-assessment stage",Submittals!B149,Submittals!F149)</f>
        <v>/</v>
      </c>
    </row>
    <row r="150" spans="1:7" ht="25.5" customHeight="1" x14ac:dyDescent="0.25">
      <c r="A150" s="651" t="s">
        <v>877</v>
      </c>
      <c r="B150" s="1339" t="s">
        <v>535</v>
      </c>
      <c r="C150" s="1339"/>
      <c r="D150" s="1339"/>
      <c r="E150" s="368" t="s">
        <v>997</v>
      </c>
      <c r="F150" s="368" t="s">
        <v>1872</v>
      </c>
      <c r="G150" t="str">
        <f>IF('Project information'!$C$7="Pre-assessment stage",Submittals!B150,Submittals!F150)</f>
        <v>• Copy of the operation and maintenance manual (scans, photographs or electronic version)</v>
      </c>
    </row>
    <row r="151" spans="1:7" ht="25.5" customHeight="1" x14ac:dyDescent="0.25">
      <c r="A151" s="651" t="s">
        <v>878</v>
      </c>
      <c r="B151" s="1339" t="s">
        <v>535</v>
      </c>
      <c r="C151" s="1339"/>
      <c r="D151" s="1339"/>
      <c r="E151" s="653" t="s">
        <v>991</v>
      </c>
      <c r="F151" s="653" t="s">
        <v>1873</v>
      </c>
      <c r="G151" t="str">
        <f>IF('Project information'!$C$7="Pre-assessment stage",Submittals!B151,Submittals!F151)</f>
        <v xml:space="preserve">• Copy of the preventative maintenance plan (scans, photographs or electronic version) </v>
      </c>
    </row>
    <row r="152" spans="1:7" ht="21" customHeight="1" x14ac:dyDescent="0.25">
      <c r="A152" s="1340" t="s">
        <v>975</v>
      </c>
      <c r="B152" s="1339" t="s">
        <v>535</v>
      </c>
      <c r="C152" s="1339"/>
      <c r="D152" s="1339"/>
      <c r="E152" s="663" t="s">
        <v>996</v>
      </c>
      <c r="F152" s="663" t="s">
        <v>1874</v>
      </c>
      <c r="G152" t="str">
        <f>IF('Project information'!$C$7="Pre-assessment stage",Submittals!B152,Submittals!F152)</f>
        <v>• Copy of the User guide (scans, photographs or electronic version)</v>
      </c>
    </row>
    <row r="153" spans="1:7" ht="21" customHeight="1" x14ac:dyDescent="0.25">
      <c r="A153" s="1341"/>
      <c r="B153" s="1339" t="s">
        <v>535</v>
      </c>
      <c r="C153" s="1339"/>
      <c r="D153" s="1339"/>
      <c r="E153" s="663" t="s">
        <v>51</v>
      </c>
      <c r="F153" s="368"/>
      <c r="G153">
        <f>IF('Project information'!$C$7="Pre-assessment stage",Submittals!B153,Submittals!F153)</f>
        <v>0</v>
      </c>
    </row>
    <row r="154" spans="1:7" ht="21" customHeight="1" x14ac:dyDescent="0.25">
      <c r="A154" s="1340" t="s">
        <v>976</v>
      </c>
      <c r="B154" s="1339" t="s">
        <v>535</v>
      </c>
      <c r="C154" s="1339"/>
      <c r="D154" s="1339"/>
      <c r="E154" s="663" t="s">
        <v>1012</v>
      </c>
      <c r="F154" s="663" t="s">
        <v>1931</v>
      </c>
      <c r="G154" t="str">
        <f>IF('Project information'!$C$7="Pre-assessment stage",Submittals!B154,Submittals!F154)</f>
        <v>• Green Training program showing topics of the training, schedule, participants</v>
      </c>
    </row>
    <row r="155" spans="1:7" ht="21" customHeight="1" x14ac:dyDescent="0.25">
      <c r="A155" s="1341"/>
      <c r="B155" s="1339" t="s">
        <v>535</v>
      </c>
      <c r="C155" s="1339"/>
      <c r="D155" s="1339"/>
      <c r="E155" s="663" t="s">
        <v>51</v>
      </c>
      <c r="F155" s="663" t="s">
        <v>1875</v>
      </c>
      <c r="G155" t="str">
        <f>IF('Project information'!$C$7="Pre-assessment stage",Submittals!B155,Submittals!F155)</f>
        <v>• Evidence showing that occupants of the interior space attended the Green Training such as photographs, signed attendance sheets, etc.</v>
      </c>
    </row>
    <row r="156" spans="1:7" ht="24.75" customHeight="1" x14ac:dyDescent="0.25">
      <c r="A156" s="1340" t="s">
        <v>1755</v>
      </c>
      <c r="B156" s="1339" t="s">
        <v>535</v>
      </c>
      <c r="C156" s="1339"/>
      <c r="D156" s="1339"/>
      <c r="E156" s="663" t="s">
        <v>1024</v>
      </c>
      <c r="F156" s="663" t="s">
        <v>1023</v>
      </c>
      <c r="G156" t="str">
        <f>IF('Project information'!$C$7="Pre-assessment stage",Submittals!B156,Submittals!F156)</f>
        <v>• Evidence showing that the green awareness campaign is implemented such as photographs, etc.</v>
      </c>
    </row>
    <row r="157" spans="1:7" ht="21" customHeight="1" x14ac:dyDescent="0.25">
      <c r="A157" s="1341"/>
      <c r="B157" s="1339" t="s">
        <v>535</v>
      </c>
      <c r="C157" s="1339"/>
      <c r="D157" s="1339"/>
      <c r="E157" s="663" t="s">
        <v>51</v>
      </c>
      <c r="F157" s="663"/>
      <c r="G157">
        <f>IF('Project information'!$C$7="Pre-assessment stage",Submittals!B157,Submittals!F157)</f>
        <v>0</v>
      </c>
    </row>
    <row r="158" spans="1:7" ht="15" customHeight="1" x14ac:dyDescent="0.25">
      <c r="A158" s="1340" t="s">
        <v>1748</v>
      </c>
      <c r="B158" s="1339" t="s">
        <v>535</v>
      </c>
      <c r="C158" s="1339"/>
      <c r="D158" s="1339"/>
      <c r="E158" s="368" t="s">
        <v>889</v>
      </c>
      <c r="F158" s="368" t="s">
        <v>888</v>
      </c>
      <c r="G158" t="str">
        <f>IF('Project information'!$C$7="Pre-assessment stage",Submittals!B158,Submittals!F158)</f>
        <v>• Evidence showing the involvement of a LOTUS AP until completion of fit-out</v>
      </c>
    </row>
    <row r="159" spans="1:7" ht="15" customHeight="1" x14ac:dyDescent="0.25">
      <c r="A159" s="1341"/>
      <c r="B159" s="1339" t="s">
        <v>535</v>
      </c>
      <c r="C159" s="1339"/>
      <c r="D159" s="1339"/>
      <c r="E159" s="368" t="s">
        <v>720</v>
      </c>
      <c r="F159" s="368" t="s">
        <v>720</v>
      </c>
      <c r="G159" t="str">
        <f>IF('Project information'!$C$7="Pre-assessment stage",Submittals!B159,Submittals!F159)</f>
        <v>• Copy of the LOTUS AP certificate</v>
      </c>
    </row>
    <row r="160" spans="1:7" x14ac:dyDescent="0.25">
      <c r="A160" s="1340" t="s">
        <v>1750</v>
      </c>
      <c r="B160" s="1339" t="s">
        <v>535</v>
      </c>
      <c r="C160" s="1339"/>
      <c r="D160" s="1339"/>
      <c r="E160" s="1064"/>
      <c r="F160" s="1064" t="s">
        <v>1930</v>
      </c>
      <c r="G160" t="str">
        <f>IF('Project information'!$C$7="Pre-assessment stage",Submittals!B160,Submittals!F160)</f>
        <v>• Signed letter of intent from the tenant that the on-going commissioning plan will be followed</v>
      </c>
    </row>
    <row r="161" spans="1:7" x14ac:dyDescent="0.25">
      <c r="A161" s="1341"/>
      <c r="B161" s="1339" t="s">
        <v>535</v>
      </c>
      <c r="C161" s="1339"/>
      <c r="D161" s="1339"/>
      <c r="E161" s="1064"/>
      <c r="F161" s="1064"/>
      <c r="G161">
        <f>IF('Project information'!$C$7="Pre-assessment stage",Submittals!B161,Submittals!F161)</f>
        <v>0</v>
      </c>
    </row>
    <row r="162" spans="1:7" ht="23.25" customHeight="1" x14ac:dyDescent="0.25">
      <c r="A162" s="1340" t="s">
        <v>1749</v>
      </c>
      <c r="B162" s="1339" t="s">
        <v>535</v>
      </c>
      <c r="C162" s="1339"/>
      <c r="D162" s="1339"/>
      <c r="E162" s="604" t="s">
        <v>896</v>
      </c>
      <c r="F162" s="604" t="s">
        <v>896</v>
      </c>
      <c r="G162" t="str">
        <f>IF('Project information'!$C$7="Pre-assessment stage",Submittals!B162,Submittals!F162)</f>
        <v>• Copy of the resume of the commissioning agent</v>
      </c>
    </row>
    <row r="163" spans="1:7" ht="23.25" customHeight="1" x14ac:dyDescent="0.25">
      <c r="A163" s="1342"/>
      <c r="B163" s="1339" t="s">
        <v>535</v>
      </c>
      <c r="C163" s="1339"/>
      <c r="D163" s="1339"/>
      <c r="E163" s="1198" t="s">
        <v>896</v>
      </c>
      <c r="F163" s="1198" t="s">
        <v>2189</v>
      </c>
      <c r="G163" t="str">
        <f>IF('Project information'!$C$7="Pre-assessment stage",Submittals!B163,Submittals!F163)</f>
        <v>• Copy of the OPR and the BOD</v>
      </c>
    </row>
    <row r="164" spans="1:7" ht="24" customHeight="1" x14ac:dyDescent="0.25">
      <c r="A164" s="1341"/>
      <c r="B164" s="1339" t="s">
        <v>535</v>
      </c>
      <c r="C164" s="1339"/>
      <c r="D164" s="1339"/>
      <c r="E164" s="604" t="s">
        <v>51</v>
      </c>
      <c r="F164" s="604" t="s">
        <v>897</v>
      </c>
      <c r="G164" t="str">
        <f>IF('Project information'!$C$7="Pre-assessment stage",Submittals!B164,Submittals!F164)</f>
        <v>• Evidence showing the involvement of the commissioning agent such as photographs, contract, etc.</v>
      </c>
    </row>
    <row r="165" spans="1:7" ht="25.5" x14ac:dyDescent="0.25">
      <c r="A165" s="1340" t="s">
        <v>38</v>
      </c>
      <c r="B165" s="1339" t="s">
        <v>535</v>
      </c>
      <c r="C165" s="1339"/>
      <c r="D165" s="1339"/>
      <c r="E165" s="1152" t="s">
        <v>896</v>
      </c>
      <c r="F165" s="1152" t="s">
        <v>1902</v>
      </c>
      <c r="G165" t="str">
        <f>IF('Project information'!$C$7="Pre-assessment stage",Submittals!B165,Submittals!F165)</f>
        <v xml:space="preserve">• Supporting evidence demonstrating that the construction, installation or implementation has been done according to the description provided. </v>
      </c>
    </row>
    <row r="166" spans="1:7" ht="25.5" x14ac:dyDescent="0.25">
      <c r="A166" s="1341"/>
      <c r="B166" s="1339" t="s">
        <v>535</v>
      </c>
      <c r="C166" s="1339"/>
      <c r="D166" s="1339"/>
      <c r="E166" s="1152" t="s">
        <v>51</v>
      </c>
      <c r="F166" s="1152" t="s">
        <v>1903</v>
      </c>
      <c r="G166" t="str">
        <f>IF('Project information'!$C$7="Pre-assessment stage",Submittals!B166,Submittals!F166)</f>
        <v>• If necessary, supporting evidence verifying the expected performance such as manufacturer’s data, calculations, etc.</v>
      </c>
    </row>
  </sheetData>
  <sheetProtection algorithmName="SHA-512" hashValue="xEpEu+bcYpFdhrKdBSly7Ko6IIo56JOYbTQH7OnYOnE+0Vp+qM5p2QXv/KGZ5f5363rWFt73i8HB2w/jONknSQ==" saltValue="v60TdQmIjMqdG5C3+BrDOw==" spinCount="100000" sheet="1" objects="1" scenarios="1" formatRows="0"/>
  <mergeCells count="238">
    <mergeCell ref="B77:D77"/>
    <mergeCell ref="B75:D75"/>
    <mergeCell ref="B47:D47"/>
    <mergeCell ref="A46:A47"/>
    <mergeCell ref="B59:D59"/>
    <mergeCell ref="A88:A90"/>
    <mergeCell ref="B88:D88"/>
    <mergeCell ref="A30:A32"/>
    <mergeCell ref="B10:D10"/>
    <mergeCell ref="B17:D17"/>
    <mergeCell ref="B18:D18"/>
    <mergeCell ref="B15:D15"/>
    <mergeCell ref="A12:A13"/>
    <mergeCell ref="A9:A11"/>
    <mergeCell ref="B33:D33"/>
    <mergeCell ref="B34:D34"/>
    <mergeCell ref="B46:D46"/>
    <mergeCell ref="B30:D30"/>
    <mergeCell ref="B32:D32"/>
    <mergeCell ref="B41:D41"/>
    <mergeCell ref="B45:D45"/>
    <mergeCell ref="B24:D24"/>
    <mergeCell ref="B27:D27"/>
    <mergeCell ref="B29:D29"/>
    <mergeCell ref="B76:D76"/>
    <mergeCell ref="B3:D3"/>
    <mergeCell ref="B7:D7"/>
    <mergeCell ref="B8:D8"/>
    <mergeCell ref="B21:D21"/>
    <mergeCell ref="A165:A166"/>
    <mergeCell ref="B165:D165"/>
    <mergeCell ref="B166:D166"/>
    <mergeCell ref="B138:D138"/>
    <mergeCell ref="B74:D74"/>
    <mergeCell ref="B92:D92"/>
    <mergeCell ref="A55:A56"/>
    <mergeCell ref="B48:D48"/>
    <mergeCell ref="A154:A155"/>
    <mergeCell ref="B154:D154"/>
    <mergeCell ref="B155:D155"/>
    <mergeCell ref="A156:A157"/>
    <mergeCell ref="B156:D156"/>
    <mergeCell ref="B157:D157"/>
    <mergeCell ref="A152:A153"/>
    <mergeCell ref="B119:D119"/>
    <mergeCell ref="A140:A141"/>
    <mergeCell ref="A142:A143"/>
    <mergeCell ref="A162:A164"/>
    <mergeCell ref="A67:A68"/>
    <mergeCell ref="B142:D142"/>
    <mergeCell ref="B143:D143"/>
    <mergeCell ref="B118:D118"/>
    <mergeCell ref="A106:A107"/>
    <mergeCell ref="B1:D1"/>
    <mergeCell ref="A5:A6"/>
    <mergeCell ref="A25:A26"/>
    <mergeCell ref="A35:A36"/>
    <mergeCell ref="A39:A40"/>
    <mergeCell ref="A41:A42"/>
    <mergeCell ref="A37:A38"/>
    <mergeCell ref="B5:D5"/>
    <mergeCell ref="B6:D6"/>
    <mergeCell ref="B25:D25"/>
    <mergeCell ref="B26:D26"/>
    <mergeCell ref="B35:D35"/>
    <mergeCell ref="B36:D36"/>
    <mergeCell ref="B39:D39"/>
    <mergeCell ref="B40:D40"/>
    <mergeCell ref="A19:A20"/>
    <mergeCell ref="B19:D19"/>
    <mergeCell ref="A2:A4"/>
    <mergeCell ref="B2:D2"/>
    <mergeCell ref="B4:D4"/>
    <mergeCell ref="B162:D162"/>
    <mergeCell ref="A128:A129"/>
    <mergeCell ref="B128:D128"/>
    <mergeCell ref="B129:D129"/>
    <mergeCell ref="B113:D113"/>
    <mergeCell ref="A114:A115"/>
    <mergeCell ref="B114:D114"/>
    <mergeCell ref="A124:A125"/>
    <mergeCell ref="A133:A134"/>
    <mergeCell ref="A135:A136"/>
    <mergeCell ref="B136:D136"/>
    <mergeCell ref="B116:D116"/>
    <mergeCell ref="B117:D117"/>
    <mergeCell ref="A137:A139"/>
    <mergeCell ref="A122:A123"/>
    <mergeCell ref="A126:A127"/>
    <mergeCell ref="A158:A159"/>
    <mergeCell ref="B152:D152"/>
    <mergeCell ref="B153:D153"/>
    <mergeCell ref="A112:A113"/>
    <mergeCell ref="B112:D112"/>
    <mergeCell ref="B159:D159"/>
    <mergeCell ref="A144:A145"/>
    <mergeCell ref="A146:A147"/>
    <mergeCell ref="B164:D164"/>
    <mergeCell ref="B121:D121"/>
    <mergeCell ref="B158:D158"/>
    <mergeCell ref="B120:D120"/>
    <mergeCell ref="B137:D137"/>
    <mergeCell ref="B139:D139"/>
    <mergeCell ref="B122:D122"/>
    <mergeCell ref="B123:D123"/>
    <mergeCell ref="B126:D126"/>
    <mergeCell ref="B127:D127"/>
    <mergeCell ref="B124:D124"/>
    <mergeCell ref="B125:D125"/>
    <mergeCell ref="B150:D150"/>
    <mergeCell ref="B163:D163"/>
    <mergeCell ref="B151:D151"/>
    <mergeCell ref="B133:D133"/>
    <mergeCell ref="B134:D134"/>
    <mergeCell ref="B135:D135"/>
    <mergeCell ref="B144:D144"/>
    <mergeCell ref="B145:D145"/>
    <mergeCell ref="B146:D146"/>
    <mergeCell ref="B147:D147"/>
    <mergeCell ref="B140:D140"/>
    <mergeCell ref="B141:D141"/>
    <mergeCell ref="B94:D94"/>
    <mergeCell ref="B95:D95"/>
    <mergeCell ref="A86:A87"/>
    <mergeCell ref="B85:D85"/>
    <mergeCell ref="B98:D98"/>
    <mergeCell ref="B87:D87"/>
    <mergeCell ref="B106:D106"/>
    <mergeCell ref="A116:A117"/>
    <mergeCell ref="B80:D80"/>
    <mergeCell ref="A82:A83"/>
    <mergeCell ref="A84:A85"/>
    <mergeCell ref="B91:D91"/>
    <mergeCell ref="A91:A93"/>
    <mergeCell ref="A98:A99"/>
    <mergeCell ref="A96:A97"/>
    <mergeCell ref="B115:D115"/>
    <mergeCell ref="B89:D89"/>
    <mergeCell ref="B82:D82"/>
    <mergeCell ref="B90:D90"/>
    <mergeCell ref="A94:A95"/>
    <mergeCell ref="B81:D81"/>
    <mergeCell ref="B99:D99"/>
    <mergeCell ref="B97:D97"/>
    <mergeCell ref="B109:D109"/>
    <mergeCell ref="B86:D86"/>
    <mergeCell ref="B22:D22"/>
    <mergeCell ref="B23:D23"/>
    <mergeCell ref="B9:D9"/>
    <mergeCell ref="B11:D11"/>
    <mergeCell ref="A14:A16"/>
    <mergeCell ref="A17:A18"/>
    <mergeCell ref="B12:D12"/>
    <mergeCell ref="B13:D13"/>
    <mergeCell ref="B14:D14"/>
    <mergeCell ref="B16:D16"/>
    <mergeCell ref="B20:D20"/>
    <mergeCell ref="B69:D69"/>
    <mergeCell ref="B70:D70"/>
    <mergeCell ref="B84:D84"/>
    <mergeCell ref="B93:D93"/>
    <mergeCell ref="B96:D96"/>
    <mergeCell ref="A76:A77"/>
    <mergeCell ref="A78:A79"/>
    <mergeCell ref="A80:A81"/>
    <mergeCell ref="B73:D73"/>
    <mergeCell ref="B83:D83"/>
    <mergeCell ref="B131:D131"/>
    <mergeCell ref="B72:D72"/>
    <mergeCell ref="A69:A70"/>
    <mergeCell ref="A7:A8"/>
    <mergeCell ref="A118:A119"/>
    <mergeCell ref="A48:A50"/>
    <mergeCell ref="A53:A54"/>
    <mergeCell ref="B54:D54"/>
    <mergeCell ref="A23:A24"/>
    <mergeCell ref="A21:A22"/>
    <mergeCell ref="B50:D50"/>
    <mergeCell ref="B53:D53"/>
    <mergeCell ref="B37:D37"/>
    <mergeCell ref="B38:D38"/>
    <mergeCell ref="B28:D28"/>
    <mergeCell ref="B31:D31"/>
    <mergeCell ref="A27:A29"/>
    <mergeCell ref="B62:D62"/>
    <mergeCell ref="B64:D64"/>
    <mergeCell ref="A63:A64"/>
    <mergeCell ref="A60:A62"/>
    <mergeCell ref="B66:D66"/>
    <mergeCell ref="B63:D63"/>
    <mergeCell ref="A160:A161"/>
    <mergeCell ref="B160:D160"/>
    <mergeCell ref="B161:D161"/>
    <mergeCell ref="A104:A105"/>
    <mergeCell ref="B104:D104"/>
    <mergeCell ref="B105:D105"/>
    <mergeCell ref="A100:A101"/>
    <mergeCell ref="B100:D100"/>
    <mergeCell ref="B101:D101"/>
    <mergeCell ref="A102:A103"/>
    <mergeCell ref="B102:D102"/>
    <mergeCell ref="B103:D103"/>
    <mergeCell ref="A110:A111"/>
    <mergeCell ref="B110:D110"/>
    <mergeCell ref="B111:D111"/>
    <mergeCell ref="A108:A109"/>
    <mergeCell ref="B108:D108"/>
    <mergeCell ref="B107:D107"/>
    <mergeCell ref="A130:A132"/>
    <mergeCell ref="B130:D130"/>
    <mergeCell ref="B132:D132"/>
    <mergeCell ref="A148:A149"/>
    <mergeCell ref="B148:D148"/>
    <mergeCell ref="B149:D149"/>
    <mergeCell ref="A65:A66"/>
    <mergeCell ref="B78:D78"/>
    <mergeCell ref="B79:D79"/>
    <mergeCell ref="B65:D65"/>
    <mergeCell ref="A33:A34"/>
    <mergeCell ref="A43:A45"/>
    <mergeCell ref="B43:D43"/>
    <mergeCell ref="B44:D44"/>
    <mergeCell ref="B58:D58"/>
    <mergeCell ref="B61:D61"/>
    <mergeCell ref="B57:D57"/>
    <mergeCell ref="B56:D56"/>
    <mergeCell ref="B55:D55"/>
    <mergeCell ref="A51:A52"/>
    <mergeCell ref="B51:D51"/>
    <mergeCell ref="B52:D52"/>
    <mergeCell ref="B49:D49"/>
    <mergeCell ref="B42:D42"/>
    <mergeCell ref="A57:A59"/>
    <mergeCell ref="B60:D60"/>
    <mergeCell ref="B67:D67"/>
    <mergeCell ref="A71:A75"/>
    <mergeCell ref="B68:D68"/>
    <mergeCell ref="B71:D71"/>
  </mergeCells>
  <hyperlinks>
    <hyperlink ref="A130:A132" location="'SE-4 Refrigerants'!A1" display="SE-4 Option A" xr:uid="{00000000-0004-0000-0000-000000000000}"/>
    <hyperlink ref="A55:A56" location="'W-2 Drinking Water '!A1" display="W-2 Drinking Water" xr:uid="{00000000-0004-0000-0000-000001000000}"/>
    <hyperlink ref="A57:A59" location="'M-1 Sustainable Materials'!A1" display="M-1" xr:uid="{00000000-0004-0000-0000-000002000000}"/>
    <hyperlink ref="A60:A62" location="'MR-2 Sustainable Furniture'!A1" display="MR-2" xr:uid="{00000000-0004-0000-0000-000003000000}"/>
    <hyperlink ref="A39:A40" location="'E-4 Energy Monitor'!A1" display="E-4 Energy Monitor" xr:uid="{00000000-0004-0000-0000-000004000000}"/>
    <hyperlink ref="A35:A36" location="'E-3 Energy Efficient Appliances'!A1" display="E-3" xr:uid="{00000000-0004-0000-0000-000005000000}"/>
    <hyperlink ref="A41:A42" location="'E-4 Energy Monitoring'!A1" display="E-4" xr:uid="{00000000-0004-0000-0000-000006000000}"/>
    <hyperlink ref="A37:A38" location="'E-3 Energy Efficient Appliances'!A1" display="E-3" xr:uid="{00000000-0004-0000-0000-000007000000}"/>
    <hyperlink ref="A82:A83" location="'H-3 Interior Plants'!A1" display="H-3" xr:uid="{00000000-0004-0000-0000-000008000000}"/>
    <hyperlink ref="A84:A85" location="'H-4 Green Cleaning'!A1" display="H-4" xr:uid="{00000000-0004-0000-0000-000009000000}"/>
    <hyperlink ref="A86" location="'H-7 Daylighting'!A1" display="H-7" xr:uid="{00000000-0004-0000-0000-00000A000000}"/>
    <hyperlink ref="A98:A99" location="'H-9 Lighting Comfort'!A1" display="H-9" xr:uid="{00000000-0004-0000-0000-00000B000000}"/>
    <hyperlink ref="A78:A79" location="'H-3 Low-VOC Emissions '!A1" display="H-3 Strategy C" xr:uid="{00000000-0004-0000-0000-00000C000000}"/>
    <hyperlink ref="A80:A81" location="'H-3 Hazardous Materials'!A1" display="H-3" xr:uid="{00000000-0004-0000-0000-00000D000000}"/>
    <hyperlink ref="A96:A97" location="'H-7 Thermal Comfort'!A1" display="'H-7 Thermal Comfort'!A1" xr:uid="{00000000-0004-0000-0000-00000E000000}"/>
    <hyperlink ref="A65:A66" location="'MR-3 Fit-out Waste'!A1" display="MR-3" xr:uid="{00000000-0004-0000-0000-00000F000000}"/>
    <hyperlink ref="A67:A68" location="'WP-3 Operation Waste Management'!A1" display="WP-3 Strategy A" xr:uid="{00000000-0004-0000-0000-000010000000}"/>
    <hyperlink ref="A71:A75" location="'H-1 Fresh Air Supply'!A1" display="H-1" xr:uid="{00000000-0004-0000-0000-000011000000}"/>
    <hyperlink ref="A69:A70" location="'WP-3 Waste Management'!A1" display="WP-3" xr:uid="{00000000-0004-0000-0000-000012000000}"/>
    <hyperlink ref="A137:A139" location="'LT-BPC'!A1" display="LT-BPC-1" xr:uid="{00000000-0004-0000-0000-000013000000}"/>
    <hyperlink ref="A122:A123" location="'LT-3 Green Transportation '!A1" display="LT-PR-1" xr:uid="{00000000-0004-0000-0000-000014000000}"/>
    <hyperlink ref="A124:A125" location="'LT-3 Green Transportation '!A1" display="LT-PR-1" xr:uid="{00000000-0004-0000-0000-000015000000}"/>
    <hyperlink ref="A126:A127" location="'LT-3 Green Transportation '!A1" display="LT-PR-1" xr:uid="{00000000-0004-0000-0000-000016000000}"/>
    <hyperlink ref="A21:A22" location="'E-1 Space cooling'!A1" display="E-1 Strategy A" xr:uid="{00000000-0004-0000-0000-000017000000}"/>
    <hyperlink ref="A30:A32" location="'E-2 Artificial Lighting'!A1" display="E-2 Strategy A" xr:uid="{00000000-0004-0000-0000-000018000000}"/>
    <hyperlink ref="A33:A34" location="'E-2 Artificial Lighting'!A1" display="E-2 Strategy A" xr:uid="{00000000-0004-0000-0000-000019000000}"/>
    <hyperlink ref="A158:A159" location="'Man BPC'!A1" display="Man-BPC-1" xr:uid="{00000000-0004-0000-0000-00001A000000}"/>
    <hyperlink ref="A140:A141" location="'Man-1 Construction Stage'!A1" display="Man-1 Stategy A" xr:uid="{00000000-0004-0000-0000-00001B000000}"/>
    <hyperlink ref="A150" location="'Man-4 Maintenance'!A1" display="Man-4" xr:uid="{00000000-0004-0000-0000-00001C000000}"/>
    <hyperlink ref="A118:A119" location="'LT-1 Base building '!A1" display="LT-1 Strategy B" xr:uid="{00000000-0004-0000-0000-00001D000000}"/>
    <hyperlink ref="A133:A134" location="'SE-4 Refrigerants'!A1" display="SE-4 Option B" xr:uid="{00000000-0004-0000-0000-00001E000000}"/>
    <hyperlink ref="A121" location="'LT-2 Tenancy lease'!A1" display="LT-2" xr:uid="{00000000-0004-0000-0000-000020000000}"/>
    <hyperlink ref="A120" location="'LT-2 Tenancy lease'!A1" display="LT-2" xr:uid="{00000000-0004-0000-0000-000021000000}"/>
    <hyperlink ref="A5:A6" location="'E-1 Space cooling'!A1" display="E-1 Strategy A" xr:uid="{00000000-0004-0000-0000-000022000000}"/>
    <hyperlink ref="A9:A11" location="'E-1 Space cooling'!A1" display="E-1 Strategy A" xr:uid="{00000000-0004-0000-0000-000023000000}"/>
    <hyperlink ref="A12:A13" location="'E-1 Space cooling'!A1" display="E-1 Strategy A" xr:uid="{00000000-0004-0000-0000-000024000000}"/>
    <hyperlink ref="A14:A16" location="'E-1 Space cooling'!A1" display="E-1 Strategy A" xr:uid="{00000000-0004-0000-0000-000025000000}"/>
    <hyperlink ref="A19:A20" location="'E-1 Space cooling'!A1" display="E-1 Strategy A" xr:uid="{00000000-0004-0000-0000-000026000000}"/>
    <hyperlink ref="A142:A143" location="'Man-2 Construction Stage'!A1" display="Man-2" xr:uid="{00000000-0004-0000-0000-000027000000}"/>
    <hyperlink ref="A144:A145" location="'Man-2 Construction Stage'!A1" display="Man-2" xr:uid="{00000000-0004-0000-0000-000028000000}"/>
    <hyperlink ref="A146:A147" location="'Man-2 Construction Stage'!A1" display="Man-2" xr:uid="{00000000-0004-0000-0000-000029000000}"/>
    <hyperlink ref="A17:A18" location="'E-1 Space cooling'!A1" display="E-1 Strategy A" xr:uid="{00000000-0004-0000-0000-00002A000000}"/>
    <hyperlink ref="A151" location="'Man-4 Maintenance'!A1" display="Man-4" xr:uid="{00000000-0004-0000-0000-00002B000000}"/>
    <hyperlink ref="A128:A129" location="'LT-3 Green Transportation '!A1" display="LT-PR-1" xr:uid="{00000000-0004-0000-0000-00002C000000}"/>
    <hyperlink ref="A154:A155" location="'Man-5 Green Awareness '!A1" display="Man-5" xr:uid="{00000000-0004-0000-0000-00002D000000}"/>
    <hyperlink ref="A156:A157" location="'Man-5 Green Awareness '!A1" display="Man-5" xr:uid="{00000000-0004-0000-0000-00002E000000}"/>
    <hyperlink ref="A48:A50" location="'W-1 Water Efficient Fixtures'!A1" display="W-1 Water efficient fixtures PR" xr:uid="{00000000-0004-0000-0000-00002F000000}"/>
    <hyperlink ref="A51:A52" location="'W-PR-1 &amp; W-1 Efficient Fixtures'!A1" display="W-1 Water efficient fixtures Strategy A2 / B2" xr:uid="{00000000-0004-0000-0000-000030000000}"/>
    <hyperlink ref="A148:A149" location="'Man-2 Commissioning'!A1" display="Man-2" xr:uid="{00000000-0004-0000-0000-000031000000}"/>
    <hyperlink ref="A63:A64" location="'WP-2 Fit-out Waste'!A1" display="WP-2 Strategy A" xr:uid="{00000000-0004-0000-0000-000032000000}"/>
    <hyperlink ref="A7:A8" location="'E-1 Space cooling'!A1" display="E-1 Strategy A" xr:uid="{00000000-0004-0000-0000-000033000000}"/>
    <hyperlink ref="A2:A4" location="'E-1 Space cooling'!A1" display="E-1 Strategy A" xr:uid="{00000000-0004-0000-0000-000034000000}"/>
    <hyperlink ref="A104:A105" location="'H&amp;C BPC'!A1" display="H-BPC-1" xr:uid="{00000000-0004-0000-0000-000035000000}"/>
    <hyperlink ref="A100:A101" location="'H&amp;C BPC'!A1" display="H-BPC-2" xr:uid="{00000000-0004-0000-0000-000036000000}"/>
    <hyperlink ref="A102:A103" location="'H&amp;C BPC'!A1" display="H-BPC-2" xr:uid="{00000000-0004-0000-0000-000037000000}"/>
    <hyperlink ref="A108:A109" location="'H&amp;C BPC'!A1" display="H-BPC-1" xr:uid="{00000000-0004-0000-0000-000038000000}"/>
    <hyperlink ref="A110:A111" location="'H&amp;C BPC'!A1" display="H-BPC-1" xr:uid="{00000000-0004-0000-0000-000039000000}"/>
    <hyperlink ref="A112:A113" location="'H&amp;C BPC'!A1" display="H-BPC-1" xr:uid="{00000000-0004-0000-0000-00003A000000}"/>
    <hyperlink ref="A114:A115" location="'H&amp;C BPC'!A1" display="H-BPC-1" xr:uid="{00000000-0004-0000-0000-00003B000000}"/>
    <hyperlink ref="A91" location="'H-7 Daylighting'!A1" display="H-7" xr:uid="{00000000-0004-0000-0000-00003C000000}"/>
    <hyperlink ref="A43:A45" location="'E-4 Energy Monitoring'!A1" display="E-4" xr:uid="{00000000-0004-0000-0000-00003D000000}"/>
    <hyperlink ref="A88" location="'H-7 Daylighting'!A1" display="H-7" xr:uid="{00000000-0004-0000-0000-00003E000000}"/>
    <hyperlink ref="A86:A87" location="'H-5 Daylighting'!A1" display="H-5 Prescriptive" xr:uid="{00000000-0004-0000-0000-00003F000000}"/>
    <hyperlink ref="A94" location="'H-7 Daylighting'!A1" display="H-7" xr:uid="{00000000-0004-0000-0000-000040000000}"/>
    <hyperlink ref="A91:A93" location="'H-6 External Views'!A1" display="H-6 Strategy A" xr:uid="{00000000-0004-0000-0000-000041000000}"/>
    <hyperlink ref="A116:A117" location="'LT-1 Base building '!A1" display="LT-1 Strategy B" xr:uid="{00000000-0004-0000-0000-000042000000}"/>
    <hyperlink ref="A27:A29" location="'E-2 Artificial Lighting'!A1" display="E-2 Strategy A" xr:uid="{00000000-0004-0000-0000-000043000000}"/>
    <hyperlink ref="A165:A166" location="'Inn-2 Innovative Techniques'!A1" display="Inn-2" xr:uid="{00000000-0004-0000-0000-000044000000}"/>
    <hyperlink ref="A152:A153" location="'Man-4 Green Awareness '!A1" display="Man-4 Strategy A" xr:uid="{00000000-0004-0000-0000-000045000000}"/>
    <hyperlink ref="A160:A161" location="'Man BPC'!A1" display="Man-BPC-1" xr:uid="{00000000-0004-0000-0000-000046000000}"/>
    <hyperlink ref="A162:A164" location="'Man BPC'!A1" display="Man-BPC-1" xr:uid="{00000000-0004-0000-0000-000047000000}"/>
    <hyperlink ref="A76:A77" location="'H-2 Low-VOC Emissions '!A1" display="H-2 Strategy A and B" xr:uid="{00000000-0004-0000-0000-000048000000}"/>
    <hyperlink ref="A23:A24" location="'E-1 Space cooling'!A1" display="E-1 Strategy A" xr:uid="{00000000-0004-0000-0000-000049000000}"/>
    <hyperlink ref="A135:A136" location="'SE-4 Refrigerants'!A1" display="SE-4 Option B" xr:uid="{24BCB752-E1DB-431C-BC6F-7AC41A256E16}"/>
    <hyperlink ref="A106:A107" location="'H&amp;C BPC'!A1" display="H-BPC-1" xr:uid="{236DD2B2-989D-4EE7-A85E-41548EA0E7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A1:O37"/>
  <sheetViews>
    <sheetView showRowColHeaders="0" workbookViewId="0">
      <pane ySplit="3" topLeftCell="A4" activePane="bottomLeft" state="frozen"/>
      <selection pane="bottomLeft" activeCell="C16" sqref="C16"/>
    </sheetView>
  </sheetViews>
  <sheetFormatPr defaultColWidth="0" defaultRowHeight="15" zeroHeight="1" x14ac:dyDescent="0.25"/>
  <cols>
    <col min="1" max="1" width="5.7109375" customWidth="1"/>
    <col min="2" max="8" width="10.7109375" customWidth="1"/>
    <col min="9" max="10" width="9.7109375" customWidth="1"/>
    <col min="11" max="11" width="11.7109375" customWidth="1"/>
    <col min="12" max="14" width="9.140625" customWidth="1"/>
    <col min="15" max="15" width="9.140625" hidden="1" customWidth="1"/>
    <col min="16" max="16384" width="9.140625" hidden="1"/>
  </cols>
  <sheetData>
    <row r="1" spans="1:15" s="1372" customFormat="1" ht="30" customHeight="1" x14ac:dyDescent="0.25">
      <c r="A1" s="1372" t="s">
        <v>237</v>
      </c>
    </row>
    <row r="2" spans="1:15" ht="18" customHeight="1" x14ac:dyDescent="0.25">
      <c r="A2" s="1547" t="s">
        <v>1867</v>
      </c>
      <c r="B2" s="1547"/>
      <c r="C2" s="1547"/>
      <c r="D2" s="1547"/>
      <c r="E2" s="1547"/>
      <c r="F2" s="1547"/>
      <c r="G2" s="1547"/>
      <c r="H2" s="1547"/>
      <c r="I2" s="1547"/>
      <c r="J2" s="1547"/>
      <c r="K2" s="1547"/>
      <c r="L2" s="1547"/>
      <c r="M2" s="1547"/>
      <c r="N2" s="1547"/>
      <c r="O2" s="9"/>
    </row>
    <row r="3" spans="1:15" ht="18" customHeight="1" x14ac:dyDescent="0.25">
      <c r="A3" s="1547"/>
      <c r="B3" s="1547"/>
      <c r="C3" s="1547"/>
      <c r="D3" s="1547"/>
      <c r="E3" s="1547"/>
      <c r="F3" s="1547"/>
      <c r="G3" s="1547"/>
      <c r="H3" s="1547"/>
      <c r="I3" s="1547"/>
      <c r="J3" s="1547"/>
      <c r="K3" s="1547"/>
      <c r="L3" s="1547"/>
      <c r="M3" s="1547"/>
      <c r="N3" s="1547"/>
      <c r="O3" s="9"/>
    </row>
    <row r="4" spans="1:15" ht="15" customHeight="1" x14ac:dyDescent="0.25">
      <c r="A4" s="268"/>
      <c r="B4" s="268"/>
      <c r="C4" s="268"/>
      <c r="D4" s="268"/>
      <c r="E4" s="268"/>
      <c r="F4" s="268"/>
      <c r="G4" s="268"/>
      <c r="H4" s="268"/>
      <c r="I4" s="268"/>
      <c r="J4" s="268"/>
      <c r="K4" s="268"/>
      <c r="L4" s="9"/>
      <c r="M4" s="9"/>
      <c r="N4" s="9"/>
      <c r="O4" s="9"/>
    </row>
    <row r="5" spans="1:15" ht="18" customHeight="1" x14ac:dyDescent="0.25">
      <c r="A5" s="1373" t="s">
        <v>233</v>
      </c>
      <c r="B5" s="1373"/>
      <c r="C5" s="1373"/>
      <c r="D5" s="1373"/>
      <c r="E5" s="268"/>
      <c r="F5" s="268"/>
      <c r="G5" s="268"/>
      <c r="H5" s="268"/>
      <c r="I5" s="268"/>
      <c r="J5" s="268"/>
      <c r="K5" s="268"/>
      <c r="L5" s="9"/>
      <c r="M5" s="9"/>
      <c r="N5" s="9"/>
      <c r="O5" s="9"/>
    </row>
    <row r="6" spans="1:15" x14ac:dyDescent="0.25">
      <c r="A6" s="268"/>
      <c r="B6" s="268"/>
      <c r="C6" s="268"/>
      <c r="D6" s="268"/>
      <c r="E6" s="268"/>
      <c r="F6" s="268"/>
      <c r="G6" s="268"/>
      <c r="H6" s="268"/>
      <c r="I6" s="268"/>
      <c r="J6" s="268"/>
      <c r="K6" s="268"/>
      <c r="L6" s="9"/>
      <c r="M6" s="9"/>
      <c r="N6" s="9"/>
      <c r="O6" s="9"/>
    </row>
    <row r="7" spans="1:15" ht="18" customHeight="1" x14ac:dyDescent="0.25">
      <c r="A7" s="268"/>
      <c r="B7" s="267">
        <v>1</v>
      </c>
      <c r="C7" s="1544" t="s">
        <v>1864</v>
      </c>
      <c r="D7" s="1545"/>
      <c r="E7" s="1545"/>
      <c r="F7" s="1545"/>
      <c r="G7" s="1545"/>
      <c r="H7" s="1545"/>
      <c r="I7" s="1545"/>
      <c r="J7" s="1545"/>
      <c r="K7" s="1546"/>
      <c r="L7" s="1543" t="s">
        <v>236</v>
      </c>
      <c r="M7" s="1543"/>
      <c r="N7" s="9"/>
      <c r="O7" s="9"/>
    </row>
    <row r="8" spans="1:15" ht="18" customHeight="1" x14ac:dyDescent="0.25">
      <c r="A8" s="268"/>
      <c r="B8" s="267">
        <v>2</v>
      </c>
      <c r="C8" s="1544" t="s">
        <v>1863</v>
      </c>
      <c r="D8" s="1545"/>
      <c r="E8" s="1545"/>
      <c r="F8" s="1545"/>
      <c r="G8" s="1545"/>
      <c r="H8" s="1545"/>
      <c r="I8" s="1545"/>
      <c r="J8" s="1545"/>
      <c r="K8" s="1546"/>
      <c r="L8" s="1543" t="s">
        <v>236</v>
      </c>
      <c r="M8" s="1543"/>
      <c r="N8" s="9"/>
      <c r="O8" s="9"/>
    </row>
    <row r="9" spans="1:15" ht="18" customHeight="1" x14ac:dyDescent="0.25">
      <c r="A9" s="268"/>
      <c r="B9" s="268"/>
      <c r="C9" s="268"/>
      <c r="D9" s="268"/>
      <c r="E9" s="268"/>
      <c r="F9" s="268"/>
      <c r="G9" s="268"/>
      <c r="H9" s="268"/>
      <c r="I9" s="268"/>
      <c r="J9" s="268"/>
      <c r="K9" s="268"/>
      <c r="L9" s="9"/>
      <c r="M9" s="9"/>
      <c r="N9" s="9"/>
      <c r="O9" s="9"/>
    </row>
    <row r="10" spans="1:15" ht="18" customHeight="1" x14ac:dyDescent="0.25">
      <c r="A10" s="1373" t="s">
        <v>234</v>
      </c>
      <c r="B10" s="1373"/>
      <c r="C10" s="1373"/>
      <c r="D10" s="1373"/>
      <c r="E10" s="268"/>
      <c r="F10" s="268"/>
      <c r="G10" s="268"/>
      <c r="H10" s="268"/>
      <c r="I10" s="268"/>
      <c r="J10" s="268"/>
      <c r="K10" s="268"/>
      <c r="L10" s="9"/>
      <c r="M10" s="9"/>
      <c r="N10" s="9"/>
      <c r="O10" s="9"/>
    </row>
    <row r="11" spans="1:15" ht="15" customHeight="1" x14ac:dyDescent="0.25">
      <c r="A11" s="268"/>
      <c r="B11" s="268"/>
      <c r="C11" s="268"/>
      <c r="D11" s="268"/>
      <c r="E11" s="268"/>
      <c r="F11" s="268"/>
      <c r="G11" s="268"/>
      <c r="H11" s="268"/>
      <c r="I11" s="268"/>
      <c r="J11" s="268"/>
      <c r="K11" s="268"/>
      <c r="L11" s="9"/>
      <c r="M11" s="9"/>
      <c r="N11" s="9"/>
      <c r="O11" s="9"/>
    </row>
    <row r="12" spans="1:15" x14ac:dyDescent="0.25">
      <c r="A12" s="268"/>
      <c r="B12" s="268" t="s">
        <v>1865</v>
      </c>
      <c r="C12" s="268"/>
      <c r="D12" s="268"/>
      <c r="E12" s="268"/>
      <c r="F12" s="268"/>
      <c r="G12" s="268"/>
      <c r="H12" s="268"/>
      <c r="I12" s="268"/>
      <c r="J12" s="268"/>
      <c r="K12" s="268"/>
      <c r="L12" s="9"/>
      <c r="M12" s="9"/>
      <c r="N12" s="9"/>
      <c r="O12" s="9"/>
    </row>
    <row r="13" spans="1:15" ht="18" customHeight="1" x14ac:dyDescent="0.25">
      <c r="A13" s="268"/>
      <c r="B13" s="267">
        <v>1</v>
      </c>
      <c r="C13" s="1544" t="s">
        <v>1313</v>
      </c>
      <c r="D13" s="1545"/>
      <c r="E13" s="1545"/>
      <c r="F13" s="1545"/>
      <c r="G13" s="1545"/>
      <c r="H13" s="1545"/>
      <c r="I13" s="1545"/>
      <c r="J13" s="1545"/>
      <c r="K13" s="1546"/>
      <c r="L13" s="1543" t="s">
        <v>236</v>
      </c>
      <c r="M13" s="1543"/>
      <c r="N13" s="9"/>
      <c r="O13" s="9"/>
    </row>
    <row r="14" spans="1:15" ht="18" customHeight="1" x14ac:dyDescent="0.25">
      <c r="A14" s="268"/>
      <c r="B14" s="267">
        <v>2</v>
      </c>
      <c r="C14" s="1544" t="s">
        <v>1314</v>
      </c>
      <c r="D14" s="1545"/>
      <c r="E14" s="1545"/>
      <c r="F14" s="1545"/>
      <c r="G14" s="1545"/>
      <c r="H14" s="1545"/>
      <c r="I14" s="1545"/>
      <c r="J14" s="1545"/>
      <c r="K14" s="1546"/>
      <c r="L14" s="1543" t="s">
        <v>236</v>
      </c>
      <c r="M14" s="1543"/>
      <c r="N14" s="9"/>
      <c r="O14" s="9"/>
    </row>
    <row r="15" spans="1:15" ht="30" customHeight="1" x14ac:dyDescent="0.25">
      <c r="A15" s="268"/>
      <c r="B15" s="267">
        <v>3</v>
      </c>
      <c r="C15" s="1548" t="s">
        <v>2272</v>
      </c>
      <c r="D15" s="1549"/>
      <c r="E15" s="1549"/>
      <c r="F15" s="1549"/>
      <c r="G15" s="1549"/>
      <c r="H15" s="1549"/>
      <c r="I15" s="1549"/>
      <c r="J15" s="1549"/>
      <c r="K15" s="1550"/>
      <c r="L15" s="1543" t="s">
        <v>236</v>
      </c>
      <c r="M15" s="1543"/>
      <c r="N15" s="9"/>
      <c r="O15" s="9"/>
    </row>
    <row r="16" spans="1:15" ht="15" customHeight="1" x14ac:dyDescent="0.25">
      <c r="A16" s="268"/>
      <c r="B16" s="268"/>
      <c r="C16" s="268"/>
      <c r="D16" s="268"/>
      <c r="E16" s="268"/>
      <c r="F16" s="268"/>
      <c r="G16" s="268"/>
      <c r="H16" s="268"/>
      <c r="I16" s="268"/>
      <c r="J16" s="268"/>
      <c r="K16" s="268"/>
      <c r="L16" s="9"/>
      <c r="M16" s="9"/>
      <c r="N16" s="9"/>
      <c r="O16" s="9"/>
    </row>
    <row r="17" spans="1:15" ht="18" customHeight="1" x14ac:dyDescent="0.25">
      <c r="A17" s="268"/>
      <c r="B17" s="268" t="s">
        <v>1316</v>
      </c>
      <c r="C17" s="268"/>
      <c r="D17" s="268"/>
      <c r="E17" s="268"/>
      <c r="F17" s="268"/>
      <c r="G17" s="268"/>
      <c r="H17" s="268"/>
      <c r="I17" s="268"/>
      <c r="J17" s="268"/>
      <c r="K17" s="268"/>
      <c r="L17" s="9"/>
      <c r="M17" s="9"/>
      <c r="N17" s="9"/>
      <c r="O17" s="9"/>
    </row>
    <row r="18" spans="1:15" ht="18" customHeight="1" x14ac:dyDescent="0.25">
      <c r="A18" s="268"/>
      <c r="B18" s="267">
        <v>1</v>
      </c>
      <c r="C18" s="1548" t="s">
        <v>498</v>
      </c>
      <c r="D18" s="1549"/>
      <c r="E18" s="1549"/>
      <c r="F18" s="1549"/>
      <c r="G18" s="1549"/>
      <c r="H18" s="1549"/>
      <c r="I18" s="1549"/>
      <c r="J18" s="1549"/>
      <c r="K18" s="1550"/>
      <c r="L18" s="1543" t="s">
        <v>236</v>
      </c>
      <c r="M18" s="1543"/>
      <c r="N18" s="9"/>
      <c r="O18" s="9"/>
    </row>
    <row r="19" spans="1:15" ht="18" customHeight="1" x14ac:dyDescent="0.25">
      <c r="A19" s="268"/>
      <c r="B19" s="268"/>
      <c r="C19" s="268"/>
      <c r="D19" s="268"/>
      <c r="E19" s="268"/>
      <c r="F19" s="268"/>
      <c r="G19" s="268"/>
      <c r="H19" s="268"/>
      <c r="I19" s="268"/>
      <c r="J19" s="268"/>
      <c r="K19" s="268"/>
      <c r="L19" s="9"/>
      <c r="M19" s="9"/>
      <c r="N19" s="9"/>
      <c r="O19" s="9"/>
    </row>
    <row r="20" spans="1:15" ht="18" customHeight="1" x14ac:dyDescent="0.25">
      <c r="A20" s="1373" t="s">
        <v>235</v>
      </c>
      <c r="B20" s="1373"/>
      <c r="C20" s="1373"/>
      <c r="D20" s="1373"/>
      <c r="E20" s="268"/>
      <c r="F20" s="268"/>
      <c r="G20" s="268"/>
      <c r="H20" s="268"/>
      <c r="I20" s="268"/>
      <c r="J20" s="268"/>
      <c r="K20" s="268"/>
      <c r="L20" s="9"/>
      <c r="M20" s="9"/>
      <c r="N20" s="9"/>
      <c r="O20" s="9"/>
    </row>
    <row r="21" spans="1:15" x14ac:dyDescent="0.25">
      <c r="A21" s="268"/>
      <c r="B21" s="268"/>
      <c r="C21" s="268"/>
      <c r="D21" s="268"/>
      <c r="E21" s="268"/>
      <c r="F21" s="268"/>
      <c r="G21" s="268"/>
      <c r="H21" s="268"/>
      <c r="I21" s="268"/>
      <c r="J21" s="268"/>
      <c r="K21" s="268"/>
      <c r="L21" s="9"/>
      <c r="M21" s="9"/>
      <c r="N21" s="9"/>
      <c r="O21" s="9"/>
    </row>
    <row r="22" spans="1:15" ht="18.75" customHeight="1" x14ac:dyDescent="0.25">
      <c r="A22" s="268"/>
      <c r="B22" s="267">
        <v>1</v>
      </c>
      <c r="C22" s="1544" t="s">
        <v>2193</v>
      </c>
      <c r="D22" s="1545"/>
      <c r="E22" s="1545"/>
      <c r="F22" s="1545"/>
      <c r="G22" s="1545"/>
      <c r="H22" s="1545"/>
      <c r="I22" s="1545"/>
      <c r="J22" s="1545"/>
      <c r="K22" s="1546"/>
      <c r="L22" s="1543" t="s">
        <v>236</v>
      </c>
      <c r="M22" s="1543"/>
      <c r="N22" s="9"/>
      <c r="O22" s="9"/>
    </row>
    <row r="23" spans="1:15" x14ac:dyDescent="0.25">
      <c r="A23" s="268"/>
      <c r="B23" s="268"/>
      <c r="C23" s="268"/>
      <c r="D23" s="268"/>
      <c r="E23" s="268"/>
      <c r="F23" s="268"/>
      <c r="G23" s="268"/>
      <c r="H23" s="268"/>
      <c r="I23" s="268"/>
      <c r="J23" s="268"/>
      <c r="K23" s="268"/>
      <c r="L23" s="9"/>
      <c r="M23" s="9"/>
      <c r="N23" s="9"/>
      <c r="O23" s="9"/>
    </row>
    <row r="24" spans="1:15" x14ac:dyDescent="0.25">
      <c r="A24" s="268"/>
      <c r="B24" s="268"/>
      <c r="C24" s="268"/>
      <c r="D24" s="268"/>
      <c r="E24" s="268"/>
      <c r="F24" s="268"/>
      <c r="G24" s="268"/>
      <c r="H24" s="268"/>
      <c r="I24" s="268"/>
      <c r="J24" s="268"/>
      <c r="K24" s="268"/>
      <c r="L24" s="9"/>
      <c r="M24" s="9"/>
      <c r="N24" s="9"/>
      <c r="O24" s="9"/>
    </row>
    <row r="25" spans="1:15" hidden="1" x14ac:dyDescent="0.25">
      <c r="B25" s="268"/>
      <c r="C25" s="268"/>
      <c r="D25" s="268"/>
      <c r="E25" s="268"/>
      <c r="F25" s="268"/>
      <c r="G25" s="268"/>
      <c r="H25" s="268"/>
      <c r="I25" s="268"/>
      <c r="J25" s="268"/>
      <c r="K25" s="268"/>
      <c r="L25" s="9"/>
      <c r="M25" s="9"/>
      <c r="N25" s="9"/>
      <c r="O25" s="9"/>
    </row>
    <row r="26" spans="1:15" hidden="1" x14ac:dyDescent="0.25">
      <c r="B26" s="268"/>
      <c r="C26" s="268"/>
      <c r="D26" s="268"/>
      <c r="E26" s="268"/>
      <c r="F26" s="268"/>
      <c r="G26" s="268"/>
      <c r="H26" s="268"/>
      <c r="I26" s="268"/>
      <c r="J26" s="268"/>
      <c r="K26" s="268"/>
      <c r="L26" s="9"/>
      <c r="M26" s="9"/>
      <c r="N26" s="9"/>
      <c r="O26" s="9"/>
    </row>
    <row r="27" spans="1:15" hidden="1" x14ac:dyDescent="0.25">
      <c r="B27" s="14"/>
      <c r="C27" s="14"/>
      <c r="D27" s="14"/>
      <c r="E27" s="14"/>
      <c r="F27" s="14"/>
      <c r="G27" s="14"/>
      <c r="H27" s="14"/>
      <c r="I27" s="14"/>
      <c r="J27" s="14"/>
      <c r="K27" s="14"/>
      <c r="L27" s="10"/>
      <c r="M27" s="10"/>
      <c r="N27" s="10"/>
      <c r="O27" s="10"/>
    </row>
    <row r="28" spans="1:15" hidden="1" x14ac:dyDescent="0.25">
      <c r="B28" s="14"/>
      <c r="C28" s="14"/>
      <c r="D28" s="14"/>
      <c r="E28" s="14"/>
      <c r="F28" s="14"/>
      <c r="G28" s="14"/>
      <c r="H28" s="14"/>
      <c r="I28" s="14"/>
      <c r="J28" s="14"/>
      <c r="K28" s="14"/>
      <c r="L28" s="10"/>
      <c r="M28" s="10"/>
      <c r="N28" s="10"/>
      <c r="O28" s="10"/>
    </row>
    <row r="29" spans="1:15" hidden="1" x14ac:dyDescent="0.25">
      <c r="B29" s="10"/>
      <c r="C29" s="10"/>
      <c r="D29" s="10"/>
      <c r="E29" s="10"/>
      <c r="F29" s="10"/>
      <c r="G29" s="10"/>
      <c r="H29" s="10"/>
      <c r="I29" s="10"/>
      <c r="J29" s="10"/>
      <c r="K29" s="10"/>
      <c r="L29" s="10"/>
      <c r="M29" s="10"/>
      <c r="N29" s="10"/>
      <c r="O29" s="10"/>
    </row>
    <row r="30" spans="1:15" hidden="1" x14ac:dyDescent="0.25">
      <c r="B30" s="10"/>
      <c r="C30" s="10"/>
      <c r="D30" s="10"/>
      <c r="E30" s="10"/>
      <c r="F30" s="10"/>
      <c r="G30" s="10"/>
      <c r="H30" s="10"/>
      <c r="I30" s="10"/>
      <c r="J30" s="10"/>
      <c r="K30" s="10"/>
      <c r="L30" s="10"/>
      <c r="M30" s="10"/>
      <c r="N30" s="10"/>
      <c r="O30" s="10"/>
    </row>
    <row r="31" spans="1:15" hidden="1" x14ac:dyDescent="0.25">
      <c r="B31" s="10"/>
      <c r="C31" s="10"/>
      <c r="D31" s="10"/>
      <c r="E31" s="10"/>
      <c r="F31" s="10"/>
      <c r="G31" s="10"/>
      <c r="H31" s="10"/>
      <c r="I31" s="10"/>
      <c r="J31" s="10"/>
      <c r="K31" s="10"/>
      <c r="L31" s="10"/>
      <c r="M31" s="10"/>
      <c r="N31" s="10"/>
      <c r="O31" s="10"/>
    </row>
    <row r="32" spans="1:15" hidden="1" x14ac:dyDescent="0.25">
      <c r="B32" s="10"/>
      <c r="C32" s="10"/>
      <c r="D32" s="10"/>
      <c r="E32" s="10"/>
      <c r="F32" s="10"/>
      <c r="G32" s="10"/>
      <c r="H32" s="10"/>
      <c r="I32" s="10"/>
      <c r="J32" s="10"/>
      <c r="K32" s="10"/>
      <c r="L32" s="10"/>
      <c r="M32" s="10"/>
      <c r="N32" s="10"/>
      <c r="O32" s="10"/>
    </row>
    <row r="33" spans="2:15" hidden="1" x14ac:dyDescent="0.25">
      <c r="B33" s="10"/>
      <c r="C33" s="10"/>
      <c r="D33" s="10"/>
      <c r="E33" s="10"/>
      <c r="F33" s="10"/>
      <c r="G33" s="10"/>
      <c r="H33" s="10"/>
      <c r="I33" s="10"/>
      <c r="J33" s="10"/>
      <c r="K33" s="10"/>
      <c r="L33" s="10"/>
      <c r="M33" s="10"/>
      <c r="N33" s="10"/>
      <c r="O33" s="10"/>
    </row>
    <row r="34" spans="2:15" hidden="1" x14ac:dyDescent="0.25">
      <c r="B34" s="10"/>
      <c r="C34" s="10"/>
      <c r="D34" s="10"/>
      <c r="E34" s="10"/>
      <c r="F34" s="10"/>
      <c r="G34" s="10"/>
      <c r="H34" s="10"/>
      <c r="I34" s="10"/>
      <c r="J34" s="10"/>
      <c r="K34" s="10"/>
      <c r="L34" s="10"/>
      <c r="M34" s="10"/>
      <c r="N34" s="10"/>
      <c r="O34" s="10"/>
    </row>
    <row r="35" spans="2:15" hidden="1" x14ac:dyDescent="0.25"/>
    <row r="36" spans="2:15" hidden="1" x14ac:dyDescent="0.25"/>
    <row r="37" spans="2:15" hidden="1" x14ac:dyDescent="0.25"/>
  </sheetData>
  <sheetProtection algorithmName="SHA-512" hashValue="3KsH03scbSnvoj5beQtydEgdem+575tjWk8d3WoqAkts7ut8bOs/OsK7y8D1Mx642WMA77+4+ch7yLj9r7VgEQ==" saltValue="D5i82qbXWLlO1Nz13Ye9rQ==" spinCount="100000" sheet="1" objects="1" scenarios="1" formatRows="0"/>
  <mergeCells count="19">
    <mergeCell ref="C22:K22"/>
    <mergeCell ref="L22:M22"/>
    <mergeCell ref="C13:K13"/>
    <mergeCell ref="C14:K14"/>
    <mergeCell ref="L14:M14"/>
    <mergeCell ref="L13:M13"/>
    <mergeCell ref="C18:K18"/>
    <mergeCell ref="L18:M18"/>
    <mergeCell ref="C15:K15"/>
    <mergeCell ref="L15:M15"/>
    <mergeCell ref="A1:XFD1"/>
    <mergeCell ref="A5:D5"/>
    <mergeCell ref="A10:D10"/>
    <mergeCell ref="A20:D20"/>
    <mergeCell ref="L8:M8"/>
    <mergeCell ref="C8:K8"/>
    <mergeCell ref="A2:N3"/>
    <mergeCell ref="C7:K7"/>
    <mergeCell ref="L7:M7"/>
  </mergeCells>
  <dataValidations count="1">
    <dataValidation type="list" allowBlank="1" showInputMessage="1" showErrorMessage="1" sqref="L22:M22 L7:M8 L13:M15 L18:M18" xr:uid="{00000000-0002-0000-0900-000000000000}">
      <formula1>"Please confirm,Yes,No"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P50"/>
  <sheetViews>
    <sheetView showRowColHeaders="0" workbookViewId="0">
      <pane ySplit="3" topLeftCell="A4" activePane="bottomLeft" state="frozen"/>
      <selection pane="bottomLeft" sqref="A1:P1"/>
    </sheetView>
  </sheetViews>
  <sheetFormatPr defaultColWidth="0" defaultRowHeight="15" customHeight="1" zeroHeight="1" x14ac:dyDescent="0.25"/>
  <cols>
    <col min="1" max="1" width="5.7109375" customWidth="1"/>
    <col min="2" max="2" width="9.7109375" customWidth="1"/>
    <col min="3" max="3" width="9.140625" customWidth="1"/>
    <col min="4" max="4" width="10" customWidth="1"/>
    <col min="5" max="10" width="9.140625" customWidth="1"/>
    <col min="11" max="11" width="11.7109375" customWidth="1"/>
    <col min="12" max="16" width="9.140625" customWidth="1"/>
    <col min="17" max="16384" width="9.140625" hidden="1"/>
  </cols>
  <sheetData>
    <row r="1" spans="1:16" ht="30" customHeight="1" x14ac:dyDescent="0.25">
      <c r="A1" s="1551" t="s">
        <v>495</v>
      </c>
      <c r="B1" s="1551"/>
      <c r="C1" s="1551"/>
      <c r="D1" s="1551"/>
      <c r="E1" s="1551"/>
      <c r="F1" s="1551"/>
      <c r="G1" s="1551"/>
      <c r="H1" s="1551"/>
      <c r="I1" s="1551"/>
      <c r="J1" s="1551"/>
      <c r="K1" s="1551"/>
      <c r="L1" s="1551"/>
      <c r="M1" s="1551"/>
      <c r="N1" s="1551"/>
      <c r="O1" s="1551"/>
      <c r="P1" s="1551"/>
    </row>
    <row r="2" spans="1:16" ht="18" customHeight="1" x14ac:dyDescent="0.25">
      <c r="A2" s="1547" t="s">
        <v>566</v>
      </c>
      <c r="B2" s="1547"/>
      <c r="C2" s="1547"/>
      <c r="D2" s="1547"/>
      <c r="E2" s="1547"/>
      <c r="F2" s="1547"/>
      <c r="G2" s="1547"/>
      <c r="H2" s="1547"/>
      <c r="I2" s="1547"/>
      <c r="J2" s="1547"/>
      <c r="K2" s="1547"/>
      <c r="L2" s="1547"/>
      <c r="M2" s="1547"/>
      <c r="N2" s="1547"/>
      <c r="O2" s="1547"/>
      <c r="P2" s="1547"/>
    </row>
    <row r="3" spans="1:16" ht="18" customHeight="1" x14ac:dyDescent="0.25">
      <c r="A3" s="1547"/>
      <c r="B3" s="1547"/>
      <c r="C3" s="1547"/>
      <c r="D3" s="1547"/>
      <c r="E3" s="1547"/>
      <c r="F3" s="1547"/>
      <c r="G3" s="1547"/>
      <c r="H3" s="1547"/>
      <c r="I3" s="1547"/>
      <c r="J3" s="1547"/>
      <c r="K3" s="1547"/>
      <c r="L3" s="1547"/>
      <c r="M3" s="1547"/>
      <c r="N3" s="1547"/>
      <c r="O3" s="1547"/>
      <c r="P3" s="1547"/>
    </row>
    <row r="4" spans="1:16" ht="15" customHeight="1" x14ac:dyDescent="0.25">
      <c r="A4" s="268"/>
      <c r="B4" s="268"/>
      <c r="C4" s="268"/>
      <c r="D4" s="268"/>
      <c r="E4" s="268"/>
      <c r="F4" s="268"/>
      <c r="G4" s="268"/>
      <c r="H4" s="268"/>
      <c r="I4" s="268"/>
      <c r="J4" s="268"/>
      <c r="K4" s="268"/>
      <c r="L4" s="9"/>
      <c r="M4" s="9"/>
      <c r="N4" s="9"/>
      <c r="O4" s="9"/>
      <c r="P4" s="9"/>
    </row>
    <row r="5" spans="1:16" ht="18" customHeight="1" x14ac:dyDescent="0.25">
      <c r="A5" s="1552" t="s">
        <v>233</v>
      </c>
      <c r="B5" s="1552"/>
      <c r="C5" s="1552"/>
      <c r="D5" s="1552"/>
      <c r="E5" s="268"/>
      <c r="F5" s="268"/>
      <c r="G5" s="268"/>
      <c r="H5" s="268"/>
      <c r="I5" s="268"/>
      <c r="J5" s="268"/>
      <c r="K5" s="268"/>
      <c r="L5" s="9"/>
      <c r="M5" s="9"/>
      <c r="N5" s="9"/>
      <c r="O5" s="9"/>
      <c r="P5" s="9"/>
    </row>
    <row r="6" spans="1:16" x14ac:dyDescent="0.25">
      <c r="A6" s="268"/>
      <c r="B6" s="268"/>
      <c r="C6" s="268"/>
      <c r="D6" s="268"/>
      <c r="E6" s="268"/>
      <c r="F6" s="268"/>
      <c r="G6" s="268"/>
      <c r="H6" s="268"/>
      <c r="I6" s="268"/>
      <c r="J6" s="268"/>
      <c r="K6" s="268"/>
      <c r="L6" s="9"/>
      <c r="M6" s="9"/>
      <c r="N6" s="9"/>
      <c r="O6" s="9"/>
      <c r="P6" s="9"/>
    </row>
    <row r="7" spans="1:16" ht="18" customHeight="1" x14ac:dyDescent="0.25">
      <c r="A7" s="268"/>
      <c r="B7" s="267">
        <v>1</v>
      </c>
      <c r="C7" s="1544" t="s">
        <v>496</v>
      </c>
      <c r="D7" s="1545"/>
      <c r="E7" s="1545"/>
      <c r="F7" s="1545"/>
      <c r="G7" s="1545"/>
      <c r="H7" s="1545"/>
      <c r="I7" s="1545"/>
      <c r="J7" s="1545"/>
      <c r="K7" s="1546"/>
      <c r="L7" s="1543" t="s">
        <v>236</v>
      </c>
      <c r="M7" s="1543"/>
      <c r="N7" s="9"/>
      <c r="O7" s="9"/>
      <c r="P7" s="9"/>
    </row>
    <row r="8" spans="1:16" ht="18" customHeight="1" x14ac:dyDescent="0.25">
      <c r="A8" s="268"/>
      <c r="B8" s="267">
        <v>2</v>
      </c>
      <c r="C8" s="1544" t="s">
        <v>497</v>
      </c>
      <c r="D8" s="1545"/>
      <c r="E8" s="1545"/>
      <c r="F8" s="1545"/>
      <c r="G8" s="1545"/>
      <c r="H8" s="1545"/>
      <c r="I8" s="1545"/>
      <c r="J8" s="1545"/>
      <c r="K8" s="1546"/>
      <c r="L8" s="1543" t="s">
        <v>236</v>
      </c>
      <c r="M8" s="1543"/>
      <c r="N8" s="9"/>
      <c r="O8" s="9"/>
      <c r="P8" s="9"/>
    </row>
    <row r="9" spans="1:16" ht="18" customHeight="1" x14ac:dyDescent="0.25">
      <c r="A9" s="268"/>
      <c r="B9" s="267">
        <v>3</v>
      </c>
      <c r="C9" s="1544" t="s">
        <v>1319</v>
      </c>
      <c r="D9" s="1545"/>
      <c r="E9" s="1545"/>
      <c r="F9" s="1545"/>
      <c r="G9" s="1545"/>
      <c r="H9" s="1545"/>
      <c r="I9" s="1545"/>
      <c r="J9" s="1545"/>
      <c r="K9" s="1546"/>
      <c r="L9" s="1543" t="s">
        <v>236</v>
      </c>
      <c r="M9" s="1543"/>
      <c r="N9" s="9"/>
      <c r="O9" s="9"/>
      <c r="P9" s="9"/>
    </row>
    <row r="10" spans="1:16" ht="18" customHeight="1" x14ac:dyDescent="0.25">
      <c r="A10" s="268"/>
      <c r="B10" s="268"/>
      <c r="C10" s="268"/>
      <c r="D10" s="268"/>
      <c r="E10" s="268"/>
      <c r="F10" s="268"/>
      <c r="G10" s="268"/>
      <c r="H10" s="268"/>
      <c r="I10" s="268"/>
      <c r="J10" s="268"/>
      <c r="K10" s="268"/>
      <c r="L10" s="9"/>
      <c r="M10" s="9"/>
      <c r="N10" s="9"/>
      <c r="O10" s="9"/>
      <c r="P10" s="9"/>
    </row>
    <row r="11" spans="1:16" ht="18" customHeight="1" x14ac:dyDescent="0.25">
      <c r="A11" s="1552" t="s">
        <v>234</v>
      </c>
      <c r="B11" s="1552"/>
      <c r="C11" s="1552"/>
      <c r="D11" s="1552"/>
      <c r="E11" s="268"/>
      <c r="F11" s="268"/>
      <c r="G11" s="268"/>
      <c r="H11" s="268"/>
      <c r="I11" s="268"/>
      <c r="J11" s="268"/>
      <c r="K11" s="268"/>
      <c r="L11" s="9"/>
      <c r="M11" s="9"/>
      <c r="N11" s="9"/>
      <c r="O11" s="9"/>
      <c r="P11" s="9"/>
    </row>
    <row r="12" spans="1:16" ht="15" customHeight="1" x14ac:dyDescent="0.25">
      <c r="A12" s="268"/>
      <c r="B12" s="268"/>
      <c r="C12" s="268"/>
      <c r="D12" s="268"/>
      <c r="E12" s="268"/>
      <c r="F12" s="268"/>
      <c r="G12" s="268"/>
      <c r="H12" s="268"/>
      <c r="I12" s="268"/>
      <c r="J12" s="268"/>
      <c r="K12" s="268"/>
      <c r="L12" s="9"/>
      <c r="M12" s="9"/>
      <c r="N12" s="9"/>
      <c r="O12" s="9"/>
      <c r="P12" s="9"/>
    </row>
    <row r="13" spans="1:16" x14ac:dyDescent="0.25">
      <c r="A13" s="268"/>
      <c r="B13" s="268" t="s">
        <v>1312</v>
      </c>
      <c r="C13" s="268"/>
      <c r="D13" s="268"/>
      <c r="E13" s="268"/>
      <c r="F13" s="268"/>
      <c r="G13" s="268"/>
      <c r="H13" s="268"/>
      <c r="I13" s="268"/>
      <c r="J13" s="268"/>
      <c r="K13" s="268"/>
      <c r="L13" s="9"/>
      <c r="M13" s="9"/>
      <c r="N13" s="9"/>
      <c r="O13" s="9"/>
      <c r="P13" s="9"/>
    </row>
    <row r="14" spans="1:16" ht="16.5" customHeight="1" x14ac:dyDescent="0.25">
      <c r="A14" s="268"/>
      <c r="B14" s="267">
        <v>1</v>
      </c>
      <c r="C14" s="1544" t="s">
        <v>1343</v>
      </c>
      <c r="D14" s="1545"/>
      <c r="E14" s="1545"/>
      <c r="F14" s="1545"/>
      <c r="G14" s="1545"/>
      <c r="H14" s="1545"/>
      <c r="I14" s="1545"/>
      <c r="J14" s="1545"/>
      <c r="K14" s="1546"/>
      <c r="L14" s="1543" t="s">
        <v>236</v>
      </c>
      <c r="M14" s="1543"/>
      <c r="N14" s="9"/>
      <c r="O14" s="9"/>
      <c r="P14" s="9"/>
    </row>
    <row r="15" spans="1:16" ht="16.5" customHeight="1" x14ac:dyDescent="0.25">
      <c r="A15" s="268"/>
      <c r="B15" s="267">
        <v>2</v>
      </c>
      <c r="C15" s="1544" t="s">
        <v>1318</v>
      </c>
      <c r="D15" s="1545"/>
      <c r="E15" s="1545"/>
      <c r="F15" s="1545"/>
      <c r="G15" s="1545"/>
      <c r="H15" s="1545"/>
      <c r="I15" s="1545"/>
      <c r="J15" s="1545"/>
      <c r="K15" s="1546"/>
      <c r="L15" s="1543" t="s">
        <v>236</v>
      </c>
      <c r="M15" s="1543"/>
      <c r="N15" s="9"/>
      <c r="O15" s="9"/>
      <c r="P15" s="9"/>
    </row>
    <row r="16" spans="1:16" ht="30" customHeight="1" x14ac:dyDescent="0.25">
      <c r="A16" s="268"/>
      <c r="B16" s="267">
        <v>3</v>
      </c>
      <c r="C16" s="1548" t="s">
        <v>1315</v>
      </c>
      <c r="D16" s="1549"/>
      <c r="E16" s="1549"/>
      <c r="F16" s="1549"/>
      <c r="G16" s="1549"/>
      <c r="H16" s="1549"/>
      <c r="I16" s="1549"/>
      <c r="J16" s="1549"/>
      <c r="K16" s="1550"/>
      <c r="L16" s="1543" t="s">
        <v>236</v>
      </c>
      <c r="M16" s="1543"/>
      <c r="N16" s="9"/>
      <c r="O16" s="9"/>
      <c r="P16" s="9"/>
    </row>
    <row r="17" spans="1:16" ht="15" customHeight="1" x14ac:dyDescent="0.25">
      <c r="A17" s="268"/>
      <c r="B17" s="268"/>
      <c r="C17" s="268"/>
      <c r="D17" s="268"/>
      <c r="E17" s="268"/>
      <c r="F17" s="268"/>
      <c r="G17" s="268"/>
      <c r="H17" s="268"/>
      <c r="I17" s="268"/>
      <c r="J17" s="268"/>
      <c r="K17" s="268"/>
      <c r="L17" s="9"/>
      <c r="M17" s="9"/>
      <c r="N17" s="9"/>
      <c r="O17" s="9"/>
      <c r="P17" s="9"/>
    </row>
    <row r="18" spans="1:16" ht="18" customHeight="1" x14ac:dyDescent="0.25">
      <c r="A18" s="268"/>
      <c r="B18" s="268" t="s">
        <v>1322</v>
      </c>
      <c r="C18" s="268"/>
      <c r="D18" s="268"/>
      <c r="E18" s="268"/>
      <c r="F18" s="268"/>
      <c r="G18" s="268"/>
      <c r="H18" s="268"/>
      <c r="I18" s="268"/>
      <c r="J18" s="268"/>
      <c r="K18" s="268"/>
      <c r="L18" s="9"/>
      <c r="M18" s="9"/>
      <c r="N18" s="9"/>
      <c r="O18" s="9"/>
      <c r="P18" s="9"/>
    </row>
    <row r="19" spans="1:16" ht="18" customHeight="1" x14ac:dyDescent="0.25">
      <c r="A19" s="268"/>
      <c r="B19" s="267">
        <v>1</v>
      </c>
      <c r="C19" s="1548" t="s">
        <v>498</v>
      </c>
      <c r="D19" s="1549"/>
      <c r="E19" s="1549"/>
      <c r="F19" s="1549"/>
      <c r="G19" s="1549"/>
      <c r="H19" s="1549"/>
      <c r="I19" s="1549"/>
      <c r="J19" s="1549"/>
      <c r="K19" s="1550"/>
      <c r="L19" s="1543" t="s">
        <v>236</v>
      </c>
      <c r="M19" s="1543"/>
      <c r="N19" s="9"/>
      <c r="O19" s="9"/>
      <c r="P19" s="9"/>
    </row>
    <row r="20" spans="1:16" ht="18" customHeight="1" x14ac:dyDescent="0.25">
      <c r="A20" s="268"/>
      <c r="B20" s="267">
        <v>2</v>
      </c>
      <c r="C20" s="1548" t="s">
        <v>499</v>
      </c>
      <c r="D20" s="1549"/>
      <c r="E20" s="1549"/>
      <c r="F20" s="1549"/>
      <c r="G20" s="1549"/>
      <c r="H20" s="1549"/>
      <c r="I20" s="1549"/>
      <c r="J20" s="1549"/>
      <c r="K20" s="1550"/>
      <c r="L20" s="1543" t="s">
        <v>236</v>
      </c>
      <c r="M20" s="1543"/>
      <c r="N20" s="9"/>
      <c r="O20" s="9"/>
      <c r="P20" s="9"/>
    </row>
    <row r="21" spans="1:16" ht="18" customHeight="1" x14ac:dyDescent="0.25">
      <c r="A21" s="268"/>
      <c r="B21" s="268"/>
      <c r="C21" s="268"/>
      <c r="D21" s="268"/>
      <c r="E21" s="268"/>
      <c r="F21" s="268"/>
      <c r="G21" s="268"/>
      <c r="H21" s="268"/>
      <c r="I21" s="268"/>
      <c r="J21" s="268"/>
      <c r="K21" s="268"/>
      <c r="L21" s="9"/>
      <c r="M21" s="9"/>
      <c r="N21" s="9"/>
      <c r="O21" s="9"/>
      <c r="P21" s="9"/>
    </row>
    <row r="22" spans="1:16" ht="18" customHeight="1" x14ac:dyDescent="0.25">
      <c r="A22" s="1552" t="s">
        <v>238</v>
      </c>
      <c r="B22" s="1552"/>
      <c r="C22" s="1552"/>
      <c r="D22" s="1552"/>
      <c r="E22" s="268"/>
      <c r="F22" s="268"/>
      <c r="G22" s="268"/>
      <c r="H22" s="268"/>
      <c r="I22" s="268"/>
      <c r="J22" s="268"/>
      <c r="K22" s="268"/>
      <c r="L22" s="9"/>
      <c r="M22" s="9"/>
      <c r="N22" s="9"/>
      <c r="O22" s="9"/>
      <c r="P22" s="9"/>
    </row>
    <row r="23" spans="1:16" ht="12" customHeight="1" x14ac:dyDescent="0.25">
      <c r="A23" s="268"/>
      <c r="B23" s="268"/>
      <c r="C23" s="268"/>
      <c r="D23" s="268"/>
      <c r="E23" s="268"/>
      <c r="F23" s="268"/>
      <c r="G23" s="268"/>
      <c r="H23" s="268"/>
      <c r="I23" s="268"/>
      <c r="J23" s="268"/>
      <c r="K23" s="268"/>
      <c r="L23" s="9"/>
      <c r="M23" s="9"/>
      <c r="N23" s="9"/>
      <c r="O23" s="9"/>
      <c r="P23" s="9"/>
    </row>
    <row r="24" spans="1:16" ht="18" customHeight="1" x14ac:dyDescent="0.25">
      <c r="A24" s="268"/>
      <c r="B24" s="268" t="s">
        <v>239</v>
      </c>
      <c r="C24" s="268"/>
      <c r="D24" s="268"/>
      <c r="E24" s="268"/>
      <c r="F24" s="268"/>
      <c r="G24" s="268"/>
      <c r="H24" s="268"/>
      <c r="I24" s="268"/>
      <c r="J24" s="268"/>
      <c r="K24" s="268"/>
      <c r="L24" s="9"/>
      <c r="M24" s="9"/>
      <c r="N24" s="9"/>
      <c r="O24" s="9"/>
      <c r="P24" s="9"/>
    </row>
    <row r="25" spans="1:16" ht="18" customHeight="1" x14ac:dyDescent="0.25">
      <c r="A25" s="268"/>
      <c r="B25" s="267">
        <v>1</v>
      </c>
      <c r="C25" s="1553" t="s">
        <v>1320</v>
      </c>
      <c r="D25" s="1553"/>
      <c r="E25" s="1553"/>
      <c r="F25" s="1553"/>
      <c r="G25" s="1553"/>
      <c r="H25" s="1553"/>
      <c r="I25" s="1553"/>
      <c r="J25" s="1553"/>
      <c r="K25" s="1553"/>
      <c r="L25" s="1543" t="s">
        <v>236</v>
      </c>
      <c r="M25" s="1543"/>
      <c r="N25" s="9"/>
      <c r="O25" s="9"/>
      <c r="P25" s="9"/>
    </row>
    <row r="26" spans="1:16" ht="18" customHeight="1" x14ac:dyDescent="0.25">
      <c r="A26" s="268"/>
      <c r="B26" s="267">
        <v>2</v>
      </c>
      <c r="C26" s="1553" t="s">
        <v>240</v>
      </c>
      <c r="D26" s="1553"/>
      <c r="E26" s="1553"/>
      <c r="F26" s="1553"/>
      <c r="G26" s="1553"/>
      <c r="H26" s="1553"/>
      <c r="I26" s="1553"/>
      <c r="J26" s="1553"/>
      <c r="K26" s="1553"/>
      <c r="L26" s="1543" t="s">
        <v>236</v>
      </c>
      <c r="M26" s="1543"/>
      <c r="N26" s="9"/>
      <c r="O26" s="9"/>
      <c r="P26" s="9"/>
    </row>
    <row r="27" spans="1:16" ht="18" customHeight="1" x14ac:dyDescent="0.25">
      <c r="A27" s="268"/>
      <c r="B27" s="267">
        <v>3</v>
      </c>
      <c r="C27" s="1553" t="s">
        <v>500</v>
      </c>
      <c r="D27" s="1553"/>
      <c r="E27" s="1553"/>
      <c r="F27" s="1553"/>
      <c r="G27" s="1553"/>
      <c r="H27" s="1553"/>
      <c r="I27" s="1553"/>
      <c r="J27" s="1553"/>
      <c r="K27" s="1553"/>
      <c r="L27" s="1543" t="s">
        <v>236</v>
      </c>
      <c r="M27" s="1543"/>
      <c r="N27" s="9"/>
      <c r="O27" s="9"/>
      <c r="P27" s="9"/>
    </row>
    <row r="28" spans="1:16" ht="18" customHeight="1" x14ac:dyDescent="0.25">
      <c r="A28" s="268"/>
      <c r="B28" s="267">
        <v>4</v>
      </c>
      <c r="C28" s="1553" t="s">
        <v>501</v>
      </c>
      <c r="D28" s="1553"/>
      <c r="E28" s="1553"/>
      <c r="F28" s="1553"/>
      <c r="G28" s="1553"/>
      <c r="H28" s="1553"/>
      <c r="I28" s="1553"/>
      <c r="J28" s="1553"/>
      <c r="K28" s="1553"/>
      <c r="L28" s="1543" t="s">
        <v>236</v>
      </c>
      <c r="M28" s="1543"/>
      <c r="N28" s="9"/>
      <c r="O28" s="9"/>
      <c r="P28" s="9"/>
    </row>
    <row r="29" spans="1:16" ht="28.5" customHeight="1" x14ac:dyDescent="0.25">
      <c r="A29" s="268"/>
      <c r="B29" s="267">
        <v>5</v>
      </c>
      <c r="C29" s="1553" t="s">
        <v>1321</v>
      </c>
      <c r="D29" s="1553"/>
      <c r="E29" s="1553"/>
      <c r="F29" s="1553"/>
      <c r="G29" s="1553"/>
      <c r="H29" s="1553"/>
      <c r="I29" s="1553"/>
      <c r="J29" s="1553"/>
      <c r="K29" s="1553"/>
      <c r="L29" s="1543" t="s">
        <v>236</v>
      </c>
      <c r="M29" s="1543"/>
      <c r="N29" s="9"/>
      <c r="O29" s="9"/>
      <c r="P29" s="9"/>
    </row>
    <row r="30" spans="1:16" ht="18" customHeight="1" x14ac:dyDescent="0.25">
      <c r="A30" s="268"/>
      <c r="B30" s="268"/>
      <c r="C30" s="268"/>
      <c r="D30" s="268"/>
      <c r="E30" s="268"/>
      <c r="F30" s="268"/>
      <c r="G30" s="268"/>
      <c r="H30" s="268"/>
      <c r="I30" s="268"/>
      <c r="J30" s="268"/>
      <c r="K30" s="268"/>
      <c r="L30" s="9"/>
      <c r="M30" s="9"/>
      <c r="N30" s="9"/>
      <c r="O30" s="9"/>
      <c r="P30" s="9"/>
    </row>
    <row r="31" spans="1:16" ht="18" customHeight="1" x14ac:dyDescent="0.25">
      <c r="A31" s="1552" t="s">
        <v>235</v>
      </c>
      <c r="B31" s="1552"/>
      <c r="C31" s="1552"/>
      <c r="D31" s="1552"/>
      <c r="E31" s="268"/>
      <c r="F31" s="268"/>
      <c r="G31" s="268"/>
      <c r="H31" s="268"/>
      <c r="I31" s="268"/>
      <c r="J31" s="268"/>
      <c r="K31" s="268"/>
      <c r="L31" s="9"/>
      <c r="M31" s="9"/>
      <c r="N31" s="9"/>
      <c r="O31" s="9"/>
      <c r="P31" s="9"/>
    </row>
    <row r="32" spans="1:16" x14ac:dyDescent="0.25">
      <c r="A32" s="268"/>
      <c r="B32" s="268"/>
      <c r="C32" s="268"/>
      <c r="D32" s="268"/>
      <c r="E32" s="268"/>
      <c r="F32" s="268"/>
      <c r="G32" s="268"/>
      <c r="H32" s="268"/>
      <c r="I32" s="268"/>
      <c r="J32" s="268"/>
      <c r="K32" s="268"/>
      <c r="L32" s="9"/>
      <c r="M32" s="9"/>
      <c r="N32" s="9"/>
      <c r="O32" s="9"/>
      <c r="P32" s="9"/>
    </row>
    <row r="33" spans="1:16" ht="16.5" customHeight="1" x14ac:dyDescent="0.25">
      <c r="A33" s="268"/>
      <c r="B33" s="267">
        <v>1</v>
      </c>
      <c r="C33" s="1544" t="s">
        <v>1317</v>
      </c>
      <c r="D33" s="1545"/>
      <c r="E33" s="1545"/>
      <c r="F33" s="1545"/>
      <c r="G33" s="1545"/>
      <c r="H33" s="1545"/>
      <c r="I33" s="1545"/>
      <c r="J33" s="1545"/>
      <c r="K33" s="1546"/>
      <c r="L33" s="1543" t="s">
        <v>236</v>
      </c>
      <c r="M33" s="1543"/>
      <c r="N33" s="9"/>
      <c r="O33" s="9"/>
      <c r="P33" s="9"/>
    </row>
    <row r="34" spans="1:16" ht="18" customHeight="1" x14ac:dyDescent="0.25">
      <c r="A34" s="268"/>
      <c r="B34" s="267">
        <v>2</v>
      </c>
      <c r="C34" s="1544" t="s">
        <v>241</v>
      </c>
      <c r="D34" s="1545"/>
      <c r="E34" s="1545"/>
      <c r="F34" s="1545"/>
      <c r="G34" s="1545"/>
      <c r="H34" s="1545"/>
      <c r="I34" s="1545"/>
      <c r="J34" s="1545"/>
      <c r="K34" s="1546"/>
      <c r="L34" s="1543" t="s">
        <v>236</v>
      </c>
      <c r="M34" s="1543"/>
      <c r="N34" s="9"/>
      <c r="O34" s="9"/>
      <c r="P34" s="9"/>
    </row>
    <row r="35" spans="1:16" ht="26.25" customHeight="1" x14ac:dyDescent="0.25">
      <c r="A35" s="268"/>
      <c r="B35" s="267">
        <v>3</v>
      </c>
      <c r="C35" s="1553" t="s">
        <v>242</v>
      </c>
      <c r="D35" s="1553"/>
      <c r="E35" s="1553"/>
      <c r="F35" s="1553"/>
      <c r="G35" s="1553"/>
      <c r="H35" s="1553"/>
      <c r="I35" s="1553"/>
      <c r="J35" s="1553"/>
      <c r="K35" s="1553"/>
      <c r="L35" s="1543" t="s">
        <v>236</v>
      </c>
      <c r="M35" s="1543"/>
      <c r="N35" s="9"/>
      <c r="O35" s="9"/>
      <c r="P35" s="9"/>
    </row>
    <row r="36" spans="1:16" x14ac:dyDescent="0.25">
      <c r="A36" s="268"/>
      <c r="B36" s="268"/>
      <c r="C36" s="268"/>
      <c r="D36" s="268"/>
      <c r="E36" s="268"/>
      <c r="F36" s="268"/>
      <c r="G36" s="268"/>
      <c r="H36" s="268"/>
      <c r="I36" s="268"/>
      <c r="J36" s="268"/>
      <c r="K36" s="268"/>
      <c r="L36" s="9"/>
      <c r="M36" s="9"/>
      <c r="N36" s="9"/>
      <c r="O36" s="9"/>
      <c r="P36" s="9"/>
    </row>
    <row r="37" spans="1:16" x14ac:dyDescent="0.25">
      <c r="A37" s="268"/>
      <c r="B37" s="268"/>
      <c r="C37" s="268"/>
      <c r="D37" s="268"/>
      <c r="E37" s="268"/>
      <c r="F37" s="268"/>
      <c r="G37" s="268"/>
      <c r="H37" s="268"/>
      <c r="I37" s="268"/>
      <c r="J37" s="268"/>
      <c r="K37" s="268"/>
      <c r="L37" s="9"/>
      <c r="M37" s="9"/>
      <c r="N37" s="9"/>
      <c r="O37" s="9"/>
      <c r="P37" s="9"/>
    </row>
    <row r="38" spans="1:16" hidden="1" x14ac:dyDescent="0.25">
      <c r="B38" s="268"/>
      <c r="C38" s="268"/>
      <c r="D38" s="268"/>
      <c r="E38" s="268"/>
      <c r="F38" s="268"/>
      <c r="G38" s="268"/>
      <c r="H38" s="268"/>
      <c r="I38" s="268"/>
      <c r="J38" s="268"/>
      <c r="K38" s="268"/>
      <c r="L38" s="9"/>
      <c r="M38" s="9"/>
      <c r="N38" s="9"/>
      <c r="O38" s="9"/>
      <c r="P38" s="9"/>
    </row>
    <row r="39" spans="1:16" hidden="1" x14ac:dyDescent="0.25">
      <c r="B39" s="268"/>
      <c r="C39" s="268"/>
      <c r="D39" s="268"/>
      <c r="E39" s="268"/>
      <c r="F39" s="268"/>
      <c r="G39" s="268"/>
      <c r="H39" s="268"/>
      <c r="I39" s="268"/>
      <c r="J39" s="268"/>
      <c r="K39" s="268"/>
      <c r="L39" s="9"/>
      <c r="M39" s="9"/>
      <c r="N39" s="9"/>
      <c r="O39" s="9"/>
      <c r="P39" s="9"/>
    </row>
    <row r="40" spans="1:16" hidden="1" x14ac:dyDescent="0.25">
      <c r="B40" s="14"/>
      <c r="C40" s="14"/>
      <c r="D40" s="14"/>
      <c r="E40" s="14"/>
      <c r="F40" s="14"/>
      <c r="G40" s="14"/>
      <c r="H40" s="14"/>
      <c r="I40" s="14"/>
      <c r="J40" s="14"/>
      <c r="K40" s="14"/>
      <c r="L40" s="10"/>
      <c r="M40" s="10"/>
      <c r="N40" s="10"/>
      <c r="O40" s="10"/>
      <c r="P40" s="10"/>
    </row>
    <row r="41" spans="1:16" hidden="1" x14ac:dyDescent="0.25">
      <c r="B41" s="14"/>
      <c r="C41" s="14"/>
      <c r="D41" s="14"/>
      <c r="E41" s="14"/>
      <c r="F41" s="14"/>
      <c r="G41" s="14"/>
      <c r="H41" s="14"/>
      <c r="I41" s="14"/>
      <c r="J41" s="14"/>
      <c r="K41" s="14"/>
      <c r="L41" s="10"/>
      <c r="M41" s="10"/>
      <c r="N41" s="10"/>
      <c r="O41" s="10"/>
      <c r="P41" s="10"/>
    </row>
    <row r="42" spans="1:16" hidden="1" x14ac:dyDescent="0.25">
      <c r="B42" s="10"/>
      <c r="C42" s="10"/>
      <c r="D42" s="10"/>
      <c r="E42" s="10"/>
      <c r="F42" s="10"/>
      <c r="G42" s="10"/>
      <c r="H42" s="10"/>
      <c r="I42" s="10"/>
      <c r="J42" s="10"/>
      <c r="K42" s="10"/>
      <c r="L42" s="10"/>
      <c r="M42" s="10"/>
      <c r="N42" s="10"/>
      <c r="O42" s="10"/>
      <c r="P42" s="10"/>
    </row>
    <row r="43" spans="1:16" hidden="1" x14ac:dyDescent="0.25">
      <c r="B43" s="10"/>
      <c r="C43" s="10"/>
      <c r="D43" s="10"/>
      <c r="E43" s="10"/>
      <c r="F43" s="10"/>
      <c r="G43" s="10"/>
      <c r="H43" s="10"/>
      <c r="I43" s="10"/>
      <c r="J43" s="10"/>
      <c r="K43" s="10"/>
      <c r="L43" s="10"/>
      <c r="M43" s="10"/>
      <c r="N43" s="10"/>
      <c r="O43" s="10"/>
      <c r="P43" s="10"/>
    </row>
    <row r="44" spans="1:16" hidden="1" x14ac:dyDescent="0.25">
      <c r="B44" s="10"/>
      <c r="C44" s="10"/>
      <c r="D44" s="10"/>
      <c r="E44" s="10"/>
      <c r="F44" s="10"/>
      <c r="G44" s="10"/>
      <c r="H44" s="10"/>
      <c r="I44" s="10"/>
      <c r="J44" s="10"/>
      <c r="K44" s="10"/>
      <c r="L44" s="10"/>
      <c r="M44" s="10"/>
      <c r="N44" s="10"/>
      <c r="O44" s="10"/>
      <c r="P44" s="10"/>
    </row>
    <row r="45" spans="1:16" hidden="1" x14ac:dyDescent="0.25">
      <c r="B45" s="10"/>
      <c r="C45" s="10"/>
      <c r="D45" s="10"/>
      <c r="E45" s="10"/>
      <c r="F45" s="10"/>
      <c r="G45" s="10"/>
      <c r="H45" s="10"/>
      <c r="I45" s="10"/>
      <c r="J45" s="10"/>
      <c r="K45" s="10"/>
      <c r="L45" s="10"/>
      <c r="M45" s="10"/>
      <c r="N45" s="10"/>
      <c r="O45" s="10"/>
      <c r="P45" s="10"/>
    </row>
    <row r="46" spans="1:16" hidden="1" x14ac:dyDescent="0.25">
      <c r="B46" s="10"/>
      <c r="C46" s="10"/>
      <c r="D46" s="10"/>
      <c r="E46" s="10"/>
      <c r="F46" s="10"/>
      <c r="G46" s="10"/>
      <c r="H46" s="10"/>
      <c r="I46" s="10"/>
      <c r="J46" s="10"/>
      <c r="K46" s="10"/>
      <c r="L46" s="10"/>
      <c r="M46" s="10"/>
      <c r="N46" s="10"/>
      <c r="O46" s="10"/>
      <c r="P46" s="10"/>
    </row>
    <row r="47" spans="1:16" hidden="1" x14ac:dyDescent="0.25">
      <c r="B47" s="10"/>
      <c r="C47" s="10"/>
      <c r="D47" s="10"/>
      <c r="E47" s="10"/>
      <c r="F47" s="10"/>
      <c r="G47" s="10"/>
      <c r="H47" s="10"/>
      <c r="I47" s="10"/>
      <c r="J47" s="10"/>
      <c r="K47" s="10"/>
      <c r="L47" s="10"/>
      <c r="M47" s="10"/>
      <c r="N47" s="10"/>
      <c r="O47" s="10"/>
      <c r="P47" s="10"/>
    </row>
    <row r="48" spans="1:16" hidden="1" x14ac:dyDescent="0.25"/>
    <row r="49" ht="15" hidden="1" customHeight="1" x14ac:dyDescent="0.25"/>
    <row r="50" ht="15" hidden="1" customHeight="1" x14ac:dyDescent="0.25"/>
  </sheetData>
  <sheetProtection algorithmName="SHA-512" hashValue="vhdSbj34hPoQWevEmSCIK7qLJ0WuldNC4JhmH2nAfDqLuXNZe/MfRjxibAxLH+5GP+M3nCZjGMw29MCz6L1GTA==" saltValue="lCQ/DRPpAkbUsiRB8/4R/Q==" spinCount="100000" sheet="1" objects="1" scenarios="1" formatRows="0"/>
  <mergeCells count="38">
    <mergeCell ref="C34:K34"/>
    <mergeCell ref="L34:M34"/>
    <mergeCell ref="C35:K35"/>
    <mergeCell ref="L35:M35"/>
    <mergeCell ref="C25:K25"/>
    <mergeCell ref="L25:M25"/>
    <mergeCell ref="C26:K26"/>
    <mergeCell ref="L26:M26"/>
    <mergeCell ref="C27:K27"/>
    <mergeCell ref="L27:M27"/>
    <mergeCell ref="C28:K28"/>
    <mergeCell ref="L28:M28"/>
    <mergeCell ref="C29:K29"/>
    <mergeCell ref="L29:M29"/>
    <mergeCell ref="C33:K33"/>
    <mergeCell ref="L33:M33"/>
    <mergeCell ref="C16:K16"/>
    <mergeCell ref="L16:M16"/>
    <mergeCell ref="C19:K19"/>
    <mergeCell ref="L19:M19"/>
    <mergeCell ref="C20:K20"/>
    <mergeCell ref="L20:M20"/>
    <mergeCell ref="A1:P1"/>
    <mergeCell ref="A11:D11"/>
    <mergeCell ref="A22:D22"/>
    <mergeCell ref="A31:D31"/>
    <mergeCell ref="C7:K7"/>
    <mergeCell ref="L7:M7"/>
    <mergeCell ref="C8:K8"/>
    <mergeCell ref="L8:M8"/>
    <mergeCell ref="A5:D5"/>
    <mergeCell ref="C9:K9"/>
    <mergeCell ref="L9:M9"/>
    <mergeCell ref="C14:K14"/>
    <mergeCell ref="L14:M14"/>
    <mergeCell ref="C15:K15"/>
    <mergeCell ref="L15:M15"/>
    <mergeCell ref="A2:P3"/>
  </mergeCells>
  <dataValidations count="1">
    <dataValidation type="list" allowBlank="1" showInputMessage="1" showErrorMessage="1" sqref="L7:M9 L14:M16 L33:M35 L19:M20 L25:M29" xr:uid="{00000000-0002-0000-0A00-000000000000}">
      <formula1>"Please confirm,Yes,No"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P50"/>
  <sheetViews>
    <sheetView showRowColHeaders="0" workbookViewId="0">
      <pane ySplit="3" topLeftCell="A4" activePane="bottomLeft" state="frozen"/>
      <selection pane="bottomLeft" activeCell="M20" sqref="M20"/>
    </sheetView>
  </sheetViews>
  <sheetFormatPr defaultColWidth="0" defaultRowHeight="15" customHeight="1" zeroHeight="1" x14ac:dyDescent="0.25"/>
  <cols>
    <col min="1" max="1" width="5.7109375" customWidth="1"/>
    <col min="2" max="2" width="8" customWidth="1"/>
    <col min="3" max="3" width="9.5703125" customWidth="1"/>
    <col min="4" max="5" width="9.140625" customWidth="1"/>
    <col min="6" max="6" width="10.42578125" customWidth="1"/>
    <col min="7" max="7" width="12.140625" customWidth="1"/>
    <col min="8" max="8" width="9.140625" customWidth="1"/>
    <col min="9" max="9" width="9.28515625" customWidth="1"/>
    <col min="10" max="10" width="9.5703125" customWidth="1"/>
    <col min="11" max="11" width="11.7109375" customWidth="1"/>
    <col min="12" max="16" width="9.140625" customWidth="1"/>
    <col min="17" max="16384" width="9.140625" hidden="1"/>
  </cols>
  <sheetData>
    <row r="1" spans="1:16" ht="30" customHeight="1" x14ac:dyDescent="0.25">
      <c r="A1" s="1372" t="s">
        <v>1635</v>
      </c>
      <c r="B1" s="1372"/>
      <c r="C1" s="1372"/>
      <c r="D1" s="1372"/>
      <c r="E1" s="1372"/>
      <c r="F1" s="1372"/>
      <c r="G1" s="1372"/>
      <c r="H1" s="1372"/>
      <c r="I1" s="1372"/>
      <c r="J1" s="1372"/>
      <c r="K1" s="1372"/>
      <c r="L1" s="1372"/>
      <c r="M1" s="1372"/>
      <c r="N1" s="1372"/>
      <c r="O1" s="1372"/>
      <c r="P1" s="1372"/>
    </row>
    <row r="2" spans="1:16" ht="18" customHeight="1" x14ac:dyDescent="0.25">
      <c r="A2" s="1547" t="s">
        <v>1866</v>
      </c>
      <c r="B2" s="1547"/>
      <c r="C2" s="1547"/>
      <c r="D2" s="1547"/>
      <c r="E2" s="1547"/>
      <c r="F2" s="1547"/>
      <c r="G2" s="1547"/>
      <c r="H2" s="1547"/>
      <c r="I2" s="1547"/>
      <c r="J2" s="1547"/>
      <c r="K2" s="1547"/>
      <c r="L2" s="1547"/>
      <c r="M2" s="1547"/>
      <c r="N2" s="1547"/>
      <c r="O2" s="1547"/>
      <c r="P2" s="1547"/>
    </row>
    <row r="3" spans="1:16" ht="18" customHeight="1" x14ac:dyDescent="0.25">
      <c r="A3" s="1547"/>
      <c r="B3" s="1547"/>
      <c r="C3" s="1547"/>
      <c r="D3" s="1547"/>
      <c r="E3" s="1547"/>
      <c r="F3" s="1547"/>
      <c r="G3" s="1547"/>
      <c r="H3" s="1547"/>
      <c r="I3" s="1547"/>
      <c r="J3" s="1547"/>
      <c r="K3" s="1547"/>
      <c r="L3" s="1547"/>
      <c r="M3" s="1547"/>
      <c r="N3" s="1547"/>
      <c r="O3" s="1547"/>
      <c r="P3" s="1547"/>
    </row>
    <row r="4" spans="1:16" ht="15" customHeight="1" x14ac:dyDescent="0.25">
      <c r="A4" s="268"/>
      <c r="B4" s="268"/>
      <c r="C4" s="268"/>
      <c r="D4" s="268"/>
      <c r="E4" s="268"/>
      <c r="F4" s="268"/>
      <c r="G4" s="268"/>
      <c r="H4" s="268"/>
      <c r="I4" s="268"/>
      <c r="J4" s="268"/>
      <c r="K4" s="268"/>
      <c r="L4" s="9"/>
      <c r="M4" s="9"/>
      <c r="N4" s="9"/>
      <c r="O4" s="9"/>
      <c r="P4" s="9"/>
    </row>
    <row r="5" spans="1:16" ht="18" customHeight="1" x14ac:dyDescent="0.25">
      <c r="A5" s="1373" t="s">
        <v>233</v>
      </c>
      <c r="B5" s="1373"/>
      <c r="C5" s="1373"/>
      <c r="D5" s="1373"/>
      <c r="E5" s="268"/>
      <c r="F5" s="268"/>
      <c r="G5" s="268"/>
      <c r="H5" s="268"/>
      <c r="I5" s="268"/>
      <c r="J5" s="268"/>
      <c r="K5" s="268"/>
      <c r="L5" s="9"/>
      <c r="M5" s="9"/>
      <c r="N5" s="9"/>
      <c r="O5" s="9"/>
      <c r="P5" s="9"/>
    </row>
    <row r="6" spans="1:16" x14ac:dyDescent="0.25">
      <c r="A6" s="268"/>
      <c r="B6" s="268"/>
      <c r="C6" s="268"/>
      <c r="D6" s="268"/>
      <c r="E6" s="268"/>
      <c r="F6" s="268"/>
      <c r="G6" s="268"/>
      <c r="H6" s="268"/>
      <c r="I6" s="268"/>
      <c r="J6" s="268"/>
      <c r="K6" s="268"/>
      <c r="L6" s="9"/>
      <c r="M6" s="9"/>
      <c r="N6" s="9"/>
      <c r="O6" s="9"/>
      <c r="P6" s="9"/>
    </row>
    <row r="7" spans="1:16" ht="18" customHeight="1" x14ac:dyDescent="0.25">
      <c r="A7" s="268"/>
      <c r="B7" s="267">
        <v>1</v>
      </c>
      <c r="C7" s="1544" t="s">
        <v>1864</v>
      </c>
      <c r="D7" s="1545"/>
      <c r="E7" s="1545"/>
      <c r="F7" s="1545"/>
      <c r="G7" s="1545"/>
      <c r="H7" s="1545"/>
      <c r="I7" s="1545"/>
      <c r="J7" s="1545"/>
      <c r="K7" s="1546"/>
      <c r="L7" s="1543" t="s">
        <v>236</v>
      </c>
      <c r="M7" s="1543"/>
      <c r="N7" s="9"/>
      <c r="O7" s="9"/>
      <c r="P7" s="9"/>
    </row>
    <row r="8" spans="1:16" ht="18" customHeight="1" x14ac:dyDescent="0.25">
      <c r="A8" s="268"/>
      <c r="B8" s="267">
        <v>2</v>
      </c>
      <c r="C8" s="1544" t="s">
        <v>1863</v>
      </c>
      <c r="D8" s="1545"/>
      <c r="E8" s="1545"/>
      <c r="F8" s="1545"/>
      <c r="G8" s="1545"/>
      <c r="H8" s="1545"/>
      <c r="I8" s="1545"/>
      <c r="J8" s="1545"/>
      <c r="K8" s="1546"/>
      <c r="L8" s="1543" t="s">
        <v>236</v>
      </c>
      <c r="M8" s="1543"/>
      <c r="N8" s="9"/>
      <c r="O8" s="9"/>
      <c r="P8" s="9"/>
    </row>
    <row r="9" spans="1:16" ht="18" customHeight="1" x14ac:dyDescent="0.25">
      <c r="A9" s="268"/>
      <c r="B9" s="268"/>
      <c r="C9" s="268"/>
      <c r="D9" s="268"/>
      <c r="E9" s="268"/>
      <c r="F9" s="268"/>
      <c r="G9" s="268"/>
      <c r="H9" s="268"/>
      <c r="I9" s="268"/>
      <c r="J9" s="268"/>
      <c r="K9" s="268"/>
      <c r="L9" s="9"/>
      <c r="M9" s="9"/>
      <c r="N9" s="9"/>
      <c r="O9" s="9"/>
      <c r="P9" s="9"/>
    </row>
    <row r="10" spans="1:16" ht="18" customHeight="1" x14ac:dyDescent="0.25">
      <c r="A10" s="1373" t="s">
        <v>234</v>
      </c>
      <c r="B10" s="1373"/>
      <c r="C10" s="1373"/>
      <c r="D10" s="1373"/>
      <c r="E10" s="268"/>
      <c r="F10" s="268"/>
      <c r="G10" s="268"/>
      <c r="H10" s="268"/>
      <c r="I10" s="268"/>
      <c r="J10" s="268"/>
      <c r="K10" s="268"/>
      <c r="L10" s="9"/>
      <c r="M10" s="9"/>
      <c r="N10" s="9"/>
      <c r="O10" s="9"/>
      <c r="P10" s="9"/>
    </row>
    <row r="11" spans="1:16" ht="15" customHeight="1" x14ac:dyDescent="0.25">
      <c r="A11" s="268"/>
      <c r="B11" s="268"/>
      <c r="C11" s="268"/>
      <c r="D11" s="268"/>
      <c r="E11" s="268"/>
      <c r="F11" s="268"/>
      <c r="G11" s="268"/>
      <c r="H11" s="268"/>
      <c r="I11" s="268"/>
      <c r="J11" s="268"/>
      <c r="K11" s="268"/>
      <c r="L11" s="9"/>
      <c r="M11" s="9"/>
      <c r="N11" s="9"/>
      <c r="O11" s="9"/>
      <c r="P11" s="9"/>
    </row>
    <row r="12" spans="1:16" x14ac:dyDescent="0.25">
      <c r="A12" s="268"/>
      <c r="B12" s="268" t="s">
        <v>1865</v>
      </c>
      <c r="C12" s="268"/>
      <c r="D12" s="268"/>
      <c r="E12" s="268"/>
      <c r="F12" s="268"/>
      <c r="G12" s="268"/>
      <c r="H12" s="268"/>
      <c r="I12" s="268"/>
      <c r="J12" s="268"/>
      <c r="K12" s="268"/>
      <c r="L12" s="9"/>
      <c r="M12" s="9"/>
      <c r="N12" s="9"/>
      <c r="O12" s="9"/>
      <c r="P12" s="9"/>
    </row>
    <row r="13" spans="1:16" ht="18" customHeight="1" x14ac:dyDescent="0.25">
      <c r="A13" s="268"/>
      <c r="B13" s="267">
        <v>1</v>
      </c>
      <c r="C13" s="1544" t="s">
        <v>1313</v>
      </c>
      <c r="D13" s="1545"/>
      <c r="E13" s="1545"/>
      <c r="F13" s="1545"/>
      <c r="G13" s="1545"/>
      <c r="H13" s="1545"/>
      <c r="I13" s="1545"/>
      <c r="J13" s="1545"/>
      <c r="K13" s="1546"/>
      <c r="L13" s="1543" t="s">
        <v>236</v>
      </c>
      <c r="M13" s="1543"/>
      <c r="N13" s="9"/>
      <c r="O13" s="9"/>
      <c r="P13" s="9"/>
    </row>
    <row r="14" spans="1:16" ht="18" customHeight="1" x14ac:dyDescent="0.25">
      <c r="A14" s="268"/>
      <c r="B14" s="267">
        <v>2</v>
      </c>
      <c r="C14" s="1544" t="s">
        <v>1318</v>
      </c>
      <c r="D14" s="1545"/>
      <c r="E14" s="1545"/>
      <c r="F14" s="1545"/>
      <c r="G14" s="1545"/>
      <c r="H14" s="1545"/>
      <c r="I14" s="1545"/>
      <c r="J14" s="1545"/>
      <c r="K14" s="1546"/>
      <c r="L14" s="1543" t="s">
        <v>236</v>
      </c>
      <c r="M14" s="1543"/>
      <c r="N14" s="9"/>
      <c r="O14" s="9"/>
      <c r="P14" s="9"/>
    </row>
    <row r="15" spans="1:16" ht="30" customHeight="1" x14ac:dyDescent="0.25">
      <c r="A15" s="268"/>
      <c r="B15" s="267">
        <v>3</v>
      </c>
      <c r="C15" s="1548" t="s">
        <v>2272</v>
      </c>
      <c r="D15" s="1549"/>
      <c r="E15" s="1549"/>
      <c r="F15" s="1549"/>
      <c r="G15" s="1549"/>
      <c r="H15" s="1549"/>
      <c r="I15" s="1549"/>
      <c r="J15" s="1549"/>
      <c r="K15" s="1550"/>
      <c r="L15" s="1543" t="s">
        <v>236</v>
      </c>
      <c r="M15" s="1543"/>
      <c r="N15" s="9"/>
      <c r="O15" s="9"/>
      <c r="P15" s="9"/>
    </row>
    <row r="16" spans="1:16" ht="15" customHeight="1" x14ac:dyDescent="0.25">
      <c r="A16" s="268"/>
      <c r="B16" s="268"/>
      <c r="C16" s="268"/>
      <c r="D16" s="268"/>
      <c r="E16" s="268"/>
      <c r="F16" s="268"/>
      <c r="G16" s="268"/>
      <c r="H16" s="268"/>
      <c r="I16" s="268"/>
      <c r="J16" s="268"/>
      <c r="K16" s="268"/>
      <c r="L16" s="9"/>
      <c r="M16" s="9"/>
      <c r="N16" s="9"/>
      <c r="O16" s="9"/>
      <c r="P16" s="9"/>
    </row>
    <row r="17" spans="1:16" ht="18" customHeight="1" x14ac:dyDescent="0.25">
      <c r="A17" s="268"/>
      <c r="B17" s="268" t="s">
        <v>1322</v>
      </c>
      <c r="C17" s="268"/>
      <c r="D17" s="268"/>
      <c r="E17" s="268"/>
      <c r="F17" s="268"/>
      <c r="G17" s="268"/>
      <c r="H17" s="268"/>
      <c r="I17" s="268"/>
      <c r="J17" s="268"/>
      <c r="K17" s="268"/>
      <c r="L17" s="9"/>
      <c r="M17" s="9"/>
      <c r="N17" s="9"/>
      <c r="O17" s="9"/>
      <c r="P17" s="9"/>
    </row>
    <row r="18" spans="1:16" ht="18" customHeight="1" x14ac:dyDescent="0.25">
      <c r="A18" s="268"/>
      <c r="B18" s="267">
        <v>1</v>
      </c>
      <c r="C18" s="1548" t="s">
        <v>2038</v>
      </c>
      <c r="D18" s="1549"/>
      <c r="E18" s="1549"/>
      <c r="F18" s="1549"/>
      <c r="G18" s="1549"/>
      <c r="H18" s="1549"/>
      <c r="I18" s="1549"/>
      <c r="J18" s="1549"/>
      <c r="K18" s="1550"/>
      <c r="L18" s="1543" t="s">
        <v>236</v>
      </c>
      <c r="M18" s="1543"/>
      <c r="N18" s="9"/>
      <c r="O18" s="9"/>
      <c r="P18" s="9"/>
    </row>
    <row r="19" spans="1:16" ht="18" customHeight="1" x14ac:dyDescent="0.25">
      <c r="A19" s="268"/>
      <c r="B19" s="267">
        <v>2</v>
      </c>
      <c r="C19" s="1548" t="s">
        <v>499</v>
      </c>
      <c r="D19" s="1549"/>
      <c r="E19" s="1549"/>
      <c r="F19" s="1549"/>
      <c r="G19" s="1549"/>
      <c r="H19" s="1549"/>
      <c r="I19" s="1549"/>
      <c r="J19" s="1549"/>
      <c r="K19" s="1550"/>
      <c r="L19" s="1543" t="s">
        <v>236</v>
      </c>
      <c r="M19" s="1543"/>
      <c r="N19" s="9"/>
      <c r="O19" s="9"/>
      <c r="P19" s="9"/>
    </row>
    <row r="20" spans="1:16" ht="18" customHeight="1" x14ac:dyDescent="0.25">
      <c r="A20" s="268"/>
      <c r="B20" s="268"/>
      <c r="C20" s="268"/>
      <c r="D20" s="268"/>
      <c r="E20" s="268"/>
      <c r="F20" s="268"/>
      <c r="G20" s="268"/>
      <c r="H20" s="268"/>
      <c r="I20" s="268"/>
      <c r="J20" s="268"/>
      <c r="K20" s="268"/>
      <c r="L20" s="9"/>
      <c r="M20" s="9"/>
      <c r="N20" s="9"/>
      <c r="O20" s="9"/>
      <c r="P20" s="9"/>
    </row>
    <row r="21" spans="1:16" ht="18" customHeight="1" x14ac:dyDescent="0.25">
      <c r="A21" s="1373" t="s">
        <v>238</v>
      </c>
      <c r="B21" s="1373"/>
      <c r="C21" s="1373"/>
      <c r="D21" s="1373"/>
      <c r="E21" s="268"/>
      <c r="F21" s="268"/>
      <c r="G21" s="268"/>
      <c r="H21" s="268"/>
      <c r="I21" s="268"/>
      <c r="J21" s="268"/>
      <c r="K21" s="268"/>
      <c r="L21" s="9"/>
      <c r="M21" s="9"/>
      <c r="N21" s="9"/>
      <c r="O21" s="9"/>
      <c r="P21" s="9"/>
    </row>
    <row r="22" spans="1:16" ht="12" customHeight="1" x14ac:dyDescent="0.25">
      <c r="A22" s="268"/>
      <c r="B22" s="268"/>
      <c r="C22" s="268"/>
      <c r="D22" s="268"/>
      <c r="E22" s="268"/>
      <c r="F22" s="268"/>
      <c r="G22" s="268"/>
      <c r="H22" s="268"/>
      <c r="I22" s="268"/>
      <c r="J22" s="268"/>
      <c r="K22" s="268"/>
      <c r="L22" s="9"/>
      <c r="M22" s="9"/>
      <c r="N22" s="9"/>
      <c r="O22" s="9"/>
      <c r="P22" s="9"/>
    </row>
    <row r="23" spans="1:16" ht="18" customHeight="1" x14ac:dyDescent="0.25">
      <c r="A23" s="268"/>
      <c r="B23" s="268" t="s">
        <v>239</v>
      </c>
      <c r="C23" s="268"/>
      <c r="D23" s="268"/>
      <c r="E23" s="268"/>
      <c r="F23" s="268"/>
      <c r="G23" s="268"/>
      <c r="H23" s="268"/>
      <c r="I23" s="268"/>
      <c r="J23" s="268"/>
      <c r="K23" s="268"/>
      <c r="L23" s="9"/>
      <c r="M23" s="9"/>
      <c r="N23" s="9"/>
      <c r="O23" s="9"/>
      <c r="P23" s="9"/>
    </row>
    <row r="24" spans="1:16" ht="18" customHeight="1" x14ac:dyDescent="0.25">
      <c r="A24" s="268"/>
      <c r="B24" s="267">
        <v>1</v>
      </c>
      <c r="C24" s="1553" t="s">
        <v>1320</v>
      </c>
      <c r="D24" s="1553"/>
      <c r="E24" s="1553"/>
      <c r="F24" s="1553"/>
      <c r="G24" s="1553"/>
      <c r="H24" s="1553"/>
      <c r="I24" s="1553"/>
      <c r="J24" s="1553"/>
      <c r="K24" s="1553"/>
      <c r="L24" s="1543" t="s">
        <v>236</v>
      </c>
      <c r="M24" s="1543"/>
      <c r="N24" s="9"/>
      <c r="O24" s="9"/>
      <c r="P24" s="9"/>
    </row>
    <row r="25" spans="1:16" ht="18" customHeight="1" x14ac:dyDescent="0.25">
      <c r="A25" s="268"/>
      <c r="B25" s="267">
        <v>2</v>
      </c>
      <c r="C25" s="1553" t="s">
        <v>240</v>
      </c>
      <c r="D25" s="1553"/>
      <c r="E25" s="1553"/>
      <c r="F25" s="1553"/>
      <c r="G25" s="1553"/>
      <c r="H25" s="1553"/>
      <c r="I25" s="1553"/>
      <c r="J25" s="1553"/>
      <c r="K25" s="1553"/>
      <c r="L25" s="1543" t="s">
        <v>236</v>
      </c>
      <c r="M25" s="1543"/>
      <c r="N25" s="9"/>
      <c r="O25" s="9"/>
      <c r="P25" s="9"/>
    </row>
    <row r="26" spans="1:16" ht="18" customHeight="1" x14ac:dyDescent="0.25">
      <c r="A26" s="268"/>
      <c r="B26" s="267">
        <v>3</v>
      </c>
      <c r="C26" s="1553" t="s">
        <v>500</v>
      </c>
      <c r="D26" s="1553"/>
      <c r="E26" s="1553"/>
      <c r="F26" s="1553"/>
      <c r="G26" s="1553"/>
      <c r="H26" s="1553"/>
      <c r="I26" s="1553"/>
      <c r="J26" s="1553"/>
      <c r="K26" s="1553"/>
      <c r="L26" s="1543" t="s">
        <v>236</v>
      </c>
      <c r="M26" s="1543"/>
      <c r="N26" s="9"/>
      <c r="O26" s="9"/>
      <c r="P26" s="9"/>
    </row>
    <row r="27" spans="1:16" ht="18" customHeight="1" x14ac:dyDescent="0.25">
      <c r="A27" s="268"/>
      <c r="B27" s="267">
        <v>4</v>
      </c>
      <c r="C27" s="1553" t="s">
        <v>501</v>
      </c>
      <c r="D27" s="1553"/>
      <c r="E27" s="1553"/>
      <c r="F27" s="1553"/>
      <c r="G27" s="1553"/>
      <c r="H27" s="1553"/>
      <c r="I27" s="1553"/>
      <c r="J27" s="1553"/>
      <c r="K27" s="1553"/>
      <c r="L27" s="1543" t="s">
        <v>236</v>
      </c>
      <c r="M27" s="1543"/>
      <c r="N27" s="9"/>
      <c r="O27" s="9"/>
      <c r="P27" s="9"/>
    </row>
    <row r="28" spans="1:16" ht="27.75" customHeight="1" x14ac:dyDescent="0.25">
      <c r="A28" s="268"/>
      <c r="B28" s="267">
        <v>5</v>
      </c>
      <c r="C28" s="1553" t="s">
        <v>2194</v>
      </c>
      <c r="D28" s="1553"/>
      <c r="E28" s="1553"/>
      <c r="F28" s="1553"/>
      <c r="G28" s="1553"/>
      <c r="H28" s="1553"/>
      <c r="I28" s="1553"/>
      <c r="J28" s="1553"/>
      <c r="K28" s="1553"/>
      <c r="L28" s="1543" t="s">
        <v>236</v>
      </c>
      <c r="M28" s="1543"/>
      <c r="N28" s="9"/>
      <c r="O28" s="9"/>
      <c r="P28" s="9"/>
    </row>
    <row r="29" spans="1:16" ht="18" customHeight="1" x14ac:dyDescent="0.25">
      <c r="A29" s="268"/>
      <c r="B29" s="268"/>
      <c r="C29" s="268"/>
      <c r="D29" s="268"/>
      <c r="E29" s="268"/>
      <c r="F29" s="268"/>
      <c r="G29" s="268"/>
      <c r="H29" s="268"/>
      <c r="I29" s="268"/>
      <c r="J29" s="268"/>
      <c r="K29" s="268"/>
      <c r="L29" s="9"/>
      <c r="M29" s="9"/>
      <c r="N29" s="9"/>
      <c r="O29" s="9"/>
      <c r="P29" s="9"/>
    </row>
    <row r="30" spans="1:16" ht="18" customHeight="1" x14ac:dyDescent="0.25">
      <c r="A30" s="1373" t="s">
        <v>235</v>
      </c>
      <c r="B30" s="1373"/>
      <c r="C30" s="1373"/>
      <c r="D30" s="1373"/>
      <c r="E30" s="268"/>
      <c r="F30" s="268"/>
      <c r="G30" s="268"/>
      <c r="H30" s="268"/>
      <c r="I30" s="268"/>
      <c r="J30" s="268"/>
      <c r="K30" s="268"/>
      <c r="L30" s="9"/>
      <c r="M30" s="9"/>
      <c r="N30" s="9"/>
      <c r="O30" s="9"/>
      <c r="P30" s="9"/>
    </row>
    <row r="31" spans="1:16" x14ac:dyDescent="0.25">
      <c r="A31" s="268"/>
      <c r="B31" s="268"/>
      <c r="C31" s="268"/>
      <c r="D31" s="268"/>
      <c r="E31" s="268"/>
      <c r="F31" s="268"/>
      <c r="G31" s="268"/>
      <c r="H31" s="268"/>
      <c r="I31" s="268"/>
      <c r="J31" s="268"/>
      <c r="K31" s="268"/>
      <c r="L31" s="9"/>
      <c r="M31" s="9"/>
      <c r="N31" s="9"/>
      <c r="O31" s="9"/>
      <c r="P31" s="9"/>
    </row>
    <row r="32" spans="1:16" ht="18" customHeight="1" x14ac:dyDescent="0.25">
      <c r="A32" s="268"/>
      <c r="B32" s="267">
        <v>1</v>
      </c>
      <c r="C32" s="1544" t="s">
        <v>2193</v>
      </c>
      <c r="D32" s="1545"/>
      <c r="E32" s="1545"/>
      <c r="F32" s="1545"/>
      <c r="G32" s="1545"/>
      <c r="H32" s="1545"/>
      <c r="I32" s="1545"/>
      <c r="J32" s="1545"/>
      <c r="K32" s="1546"/>
      <c r="L32" s="1543" t="s">
        <v>236</v>
      </c>
      <c r="M32" s="1543"/>
      <c r="N32" s="9"/>
      <c r="O32" s="9"/>
      <c r="P32" s="9"/>
    </row>
    <row r="33" spans="1:16" ht="18" customHeight="1" x14ac:dyDescent="0.25">
      <c r="A33" s="268"/>
      <c r="B33" s="267">
        <v>2</v>
      </c>
      <c r="C33" s="1544" t="s">
        <v>241</v>
      </c>
      <c r="D33" s="1545"/>
      <c r="E33" s="1545"/>
      <c r="F33" s="1545"/>
      <c r="G33" s="1545"/>
      <c r="H33" s="1545"/>
      <c r="I33" s="1545"/>
      <c r="J33" s="1545"/>
      <c r="K33" s="1546"/>
      <c r="L33" s="1543" t="s">
        <v>236</v>
      </c>
      <c r="M33" s="1543"/>
      <c r="N33" s="9"/>
      <c r="O33" s="9"/>
      <c r="P33" s="9"/>
    </row>
    <row r="34" spans="1:16" ht="40.5" customHeight="1" x14ac:dyDescent="0.25">
      <c r="A34" s="268"/>
      <c r="B34" s="267">
        <v>3</v>
      </c>
      <c r="C34" s="1553" t="s">
        <v>1862</v>
      </c>
      <c r="D34" s="1553"/>
      <c r="E34" s="1553"/>
      <c r="F34" s="1553"/>
      <c r="G34" s="1553"/>
      <c r="H34" s="1553"/>
      <c r="I34" s="1553"/>
      <c r="J34" s="1553"/>
      <c r="K34" s="1553"/>
      <c r="L34" s="1543" t="s">
        <v>236</v>
      </c>
      <c r="M34" s="1543"/>
      <c r="N34" s="9"/>
      <c r="O34" s="9"/>
      <c r="P34" s="9"/>
    </row>
    <row r="35" spans="1:16" x14ac:dyDescent="0.25">
      <c r="A35" s="268"/>
      <c r="B35" s="268"/>
      <c r="C35" s="268"/>
      <c r="D35" s="268"/>
      <c r="E35" s="268"/>
      <c r="F35" s="268"/>
      <c r="G35" s="268"/>
      <c r="H35" s="268"/>
      <c r="I35" s="268"/>
      <c r="J35" s="268"/>
      <c r="K35" s="268"/>
      <c r="L35" s="9"/>
      <c r="M35" s="9"/>
      <c r="N35" s="9"/>
      <c r="O35" s="9"/>
      <c r="P35" s="9"/>
    </row>
    <row r="36" spans="1:16" x14ac:dyDescent="0.25">
      <c r="A36" s="268"/>
      <c r="B36" s="268"/>
      <c r="C36" s="268"/>
      <c r="D36" s="268"/>
      <c r="E36" s="268"/>
      <c r="F36" s="268"/>
      <c r="G36" s="268"/>
      <c r="H36" s="268"/>
      <c r="I36" s="268"/>
      <c r="J36" s="268"/>
      <c r="K36" s="268"/>
      <c r="L36" s="9"/>
      <c r="M36" s="9"/>
      <c r="N36" s="9"/>
      <c r="O36" s="9"/>
      <c r="P36" s="9"/>
    </row>
    <row r="37" spans="1:16" hidden="1" x14ac:dyDescent="0.25">
      <c r="B37" s="268"/>
      <c r="C37" s="268"/>
      <c r="D37" s="268"/>
      <c r="E37" s="268"/>
      <c r="F37" s="268"/>
      <c r="G37" s="268"/>
      <c r="H37" s="268"/>
      <c r="I37" s="268"/>
      <c r="J37" s="268"/>
      <c r="K37" s="268"/>
      <c r="L37" s="9"/>
      <c r="M37" s="9"/>
      <c r="N37" s="9"/>
      <c r="O37" s="9"/>
      <c r="P37" s="9"/>
    </row>
    <row r="38" spans="1:16" hidden="1" x14ac:dyDescent="0.25">
      <c r="B38" s="268"/>
      <c r="C38" s="268"/>
      <c r="D38" s="268"/>
      <c r="E38" s="268"/>
      <c r="F38" s="268"/>
      <c r="G38" s="268"/>
      <c r="H38" s="268"/>
      <c r="I38" s="268"/>
      <c r="J38" s="268"/>
      <c r="K38" s="268"/>
      <c r="L38" s="9"/>
      <c r="M38" s="9"/>
      <c r="N38" s="9"/>
      <c r="O38" s="9"/>
      <c r="P38" s="9"/>
    </row>
    <row r="39" spans="1:16" hidden="1" x14ac:dyDescent="0.25">
      <c r="B39" s="14"/>
      <c r="C39" s="14"/>
      <c r="D39" s="14"/>
      <c r="E39" s="14"/>
      <c r="F39" s="14"/>
      <c r="G39" s="14"/>
      <c r="H39" s="14"/>
      <c r="I39" s="14"/>
      <c r="J39" s="14"/>
      <c r="K39" s="14"/>
      <c r="L39" s="10"/>
      <c r="M39" s="10"/>
      <c r="N39" s="10"/>
      <c r="O39" s="10"/>
      <c r="P39" s="10"/>
    </row>
    <row r="40" spans="1:16" hidden="1" x14ac:dyDescent="0.25">
      <c r="B40" s="14"/>
      <c r="C40" s="14"/>
      <c r="D40" s="14"/>
      <c r="E40" s="14"/>
      <c r="F40" s="14"/>
      <c r="G40" s="14"/>
      <c r="H40" s="14"/>
      <c r="I40" s="14"/>
      <c r="J40" s="14"/>
      <c r="K40" s="14"/>
      <c r="L40" s="10"/>
      <c r="M40" s="10"/>
      <c r="N40" s="10"/>
      <c r="O40" s="10"/>
      <c r="P40" s="10"/>
    </row>
    <row r="41" spans="1:16" hidden="1" x14ac:dyDescent="0.25">
      <c r="B41" s="10"/>
      <c r="C41" s="10"/>
      <c r="D41" s="10"/>
      <c r="E41" s="10"/>
      <c r="F41" s="10"/>
      <c r="G41" s="10"/>
      <c r="H41" s="10"/>
      <c r="I41" s="10"/>
      <c r="J41" s="10"/>
      <c r="K41" s="10"/>
      <c r="L41" s="10"/>
      <c r="M41" s="10"/>
      <c r="N41" s="10"/>
      <c r="O41" s="10"/>
      <c r="P41" s="10"/>
    </row>
    <row r="42" spans="1:16" hidden="1" x14ac:dyDescent="0.25">
      <c r="B42" s="10"/>
      <c r="C42" s="10"/>
      <c r="D42" s="10"/>
      <c r="E42" s="10"/>
      <c r="F42" s="10"/>
      <c r="G42" s="10"/>
      <c r="H42" s="10"/>
      <c r="I42" s="10"/>
      <c r="J42" s="10"/>
      <c r="K42" s="10"/>
      <c r="L42" s="10"/>
      <c r="M42" s="10"/>
      <c r="N42" s="10"/>
      <c r="O42" s="10"/>
      <c r="P42" s="10"/>
    </row>
    <row r="43" spans="1:16" hidden="1" x14ac:dyDescent="0.25">
      <c r="B43" s="10"/>
      <c r="C43" s="10"/>
      <c r="D43" s="10"/>
      <c r="E43" s="10"/>
      <c r="F43" s="10"/>
      <c r="G43" s="10"/>
      <c r="H43" s="10"/>
      <c r="I43" s="10"/>
      <c r="J43" s="10"/>
      <c r="K43" s="10"/>
      <c r="L43" s="10"/>
      <c r="M43" s="10"/>
      <c r="N43" s="10"/>
      <c r="O43" s="10"/>
      <c r="P43" s="10"/>
    </row>
    <row r="44" spans="1:16" hidden="1" x14ac:dyDescent="0.25">
      <c r="B44" s="10"/>
      <c r="C44" s="10"/>
      <c r="D44" s="10"/>
      <c r="E44" s="10"/>
      <c r="F44" s="10"/>
      <c r="G44" s="10"/>
      <c r="H44" s="10"/>
      <c r="I44" s="10"/>
      <c r="J44" s="10"/>
      <c r="K44" s="10"/>
      <c r="L44" s="10"/>
      <c r="M44" s="10"/>
      <c r="N44" s="10"/>
      <c r="O44" s="10"/>
      <c r="P44" s="10"/>
    </row>
    <row r="45" spans="1:16" hidden="1" x14ac:dyDescent="0.25">
      <c r="B45" s="10"/>
      <c r="C45" s="10"/>
      <c r="D45" s="10"/>
      <c r="E45" s="10"/>
      <c r="F45" s="10"/>
      <c r="G45" s="10"/>
      <c r="H45" s="10"/>
      <c r="I45" s="10"/>
      <c r="J45" s="10"/>
      <c r="K45" s="10"/>
      <c r="L45" s="10"/>
      <c r="M45" s="10"/>
      <c r="N45" s="10"/>
      <c r="O45" s="10"/>
      <c r="P45" s="10"/>
    </row>
    <row r="46" spans="1:16" hidden="1" x14ac:dyDescent="0.25">
      <c r="B46" s="10"/>
      <c r="C46" s="10"/>
      <c r="D46" s="10"/>
      <c r="E46" s="10"/>
      <c r="F46" s="10"/>
      <c r="G46" s="10"/>
      <c r="H46" s="10"/>
      <c r="I46" s="10"/>
      <c r="J46" s="10"/>
      <c r="K46" s="10"/>
      <c r="L46" s="10"/>
      <c r="M46" s="10"/>
      <c r="N46" s="10"/>
      <c r="O46" s="10"/>
      <c r="P46" s="10"/>
    </row>
    <row r="47" spans="1:16" hidden="1" x14ac:dyDescent="0.25"/>
    <row r="48" spans="1:16" ht="15" hidden="1" customHeight="1" x14ac:dyDescent="0.25"/>
    <row r="49" ht="15" hidden="1" customHeight="1" x14ac:dyDescent="0.25"/>
    <row r="50" ht="15" hidden="1" customHeight="1" x14ac:dyDescent="0.25"/>
  </sheetData>
  <sheetProtection algorithmName="SHA-512" hashValue="6iMwWaKDTa6s4tJWXnxEemjsIr6Ry0j5Joi5d+LDRfH7Z4sgCMap3Jp2OmKOeCStzAWw4loKdqsL83fyIcpg8A==" saltValue="RCLGxFhzzmPvTrNyZGeOAQ==" spinCount="100000" sheet="1" objects="1" scenarios="1" formatRows="0"/>
  <mergeCells count="36">
    <mergeCell ref="L19:M19"/>
    <mergeCell ref="C24:K24"/>
    <mergeCell ref="L24:M24"/>
    <mergeCell ref="C7:K7"/>
    <mergeCell ref="L7:M7"/>
    <mergeCell ref="C8:K8"/>
    <mergeCell ref="L8:M8"/>
    <mergeCell ref="C34:K34"/>
    <mergeCell ref="L34:M34"/>
    <mergeCell ref="C25:K25"/>
    <mergeCell ref="L25:M25"/>
    <mergeCell ref="C26:K26"/>
    <mergeCell ref="L26:M26"/>
    <mergeCell ref="A30:D30"/>
    <mergeCell ref="C32:K32"/>
    <mergeCell ref="C28:K28"/>
    <mergeCell ref="L28:M28"/>
    <mergeCell ref="C27:K27"/>
    <mergeCell ref="L32:M32"/>
    <mergeCell ref="L27:M27"/>
    <mergeCell ref="A1:P1"/>
    <mergeCell ref="C33:K33"/>
    <mergeCell ref="L33:M33"/>
    <mergeCell ref="C15:K15"/>
    <mergeCell ref="L15:M15"/>
    <mergeCell ref="C18:K18"/>
    <mergeCell ref="L18:M18"/>
    <mergeCell ref="A2:P3"/>
    <mergeCell ref="A21:D21"/>
    <mergeCell ref="C13:K13"/>
    <mergeCell ref="L13:M13"/>
    <mergeCell ref="C14:K14"/>
    <mergeCell ref="L14:M14"/>
    <mergeCell ref="A10:D10"/>
    <mergeCell ref="A5:D5"/>
    <mergeCell ref="C19:K19"/>
  </mergeCells>
  <dataValidations count="1">
    <dataValidation type="list" allowBlank="1" showInputMessage="1" showErrorMessage="1" sqref="L18:M19 L32:M34 L7:M8 L13:M15 L24:M28" xr:uid="{00000000-0002-0000-0B00-000000000000}">
      <formula1>"Please confirm,Yes,No"</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AA60"/>
  <sheetViews>
    <sheetView showGridLines="0" showRowColHeaders="0" zoomScaleNormal="100" workbookViewId="0">
      <pane ySplit="3" topLeftCell="A4" activePane="bottomLeft" state="frozen"/>
      <selection activeCell="E6" sqref="E6:F6"/>
      <selection pane="bottomLeft" activeCell="V5" sqref="V5"/>
    </sheetView>
  </sheetViews>
  <sheetFormatPr defaultColWidth="0" defaultRowHeight="15" zeroHeight="1" x14ac:dyDescent="0.25"/>
  <cols>
    <col min="1" max="1" width="1.7109375" style="35" customWidth="1"/>
    <col min="2" max="2" width="5.7109375" style="35" customWidth="1"/>
    <col min="3" max="4" width="13.28515625" style="35" customWidth="1"/>
    <col min="5" max="6" width="10.7109375" style="35" customWidth="1"/>
    <col min="7" max="7" width="4.7109375" style="35" customWidth="1"/>
    <col min="8" max="8" width="5.7109375" style="35" customWidth="1"/>
    <col min="9" max="9" width="12.85546875" style="35" customWidth="1"/>
    <col min="10" max="10" width="13" style="35" customWidth="1"/>
    <col min="11" max="12" width="10.7109375" style="35" customWidth="1"/>
    <col min="13" max="13" width="4.7109375" style="35" customWidth="1"/>
    <col min="14" max="17" width="9.42578125" style="35" customWidth="1"/>
    <col min="18" max="18" width="6.7109375" style="35" customWidth="1"/>
    <col min="19" max="20" width="9.7109375" style="35" customWidth="1"/>
    <col min="21" max="21" width="10.42578125" style="35" customWidth="1"/>
    <col min="22" max="22" width="4.85546875" style="35" customWidth="1"/>
    <col min="23" max="23" width="4.7109375" style="35" customWidth="1"/>
    <col min="24" max="27" width="0" style="35" hidden="1" customWidth="1"/>
    <col min="28" max="16384" width="9.140625" style="35" hidden="1"/>
  </cols>
  <sheetData>
    <row r="1" spans="1:23" s="1592" customFormat="1" ht="10.5" customHeight="1" x14ac:dyDescent="0.25">
      <c r="A1" s="1592" t="s">
        <v>2314</v>
      </c>
    </row>
    <row r="2" spans="1:23" s="1592" customFormat="1" ht="8.25" customHeight="1" x14ac:dyDescent="0.25"/>
    <row r="3" spans="1:23" s="1592" customFormat="1" ht="10.5" customHeight="1" x14ac:dyDescent="0.25"/>
    <row r="4" spans="1:23" ht="12" customHeight="1" x14ac:dyDescent="0.25">
      <c r="A4" s="18"/>
      <c r="B4" s="481"/>
      <c r="C4" s="482"/>
      <c r="D4" s="824"/>
      <c r="E4" s="482"/>
      <c r="F4" s="482"/>
      <c r="G4" s="482"/>
      <c r="H4" s="483"/>
      <c r="I4" s="484"/>
      <c r="J4" s="483"/>
      <c r="K4" s="34"/>
      <c r="L4" s="34"/>
      <c r="M4" s="34"/>
      <c r="N4" s="18"/>
      <c r="O4" s="1591" t="s">
        <v>174</v>
      </c>
      <c r="P4" s="1591"/>
      <c r="Q4" s="1591"/>
      <c r="R4" s="1591"/>
      <c r="S4" s="1591"/>
      <c r="T4" s="1591"/>
      <c r="U4" s="1591"/>
      <c r="V4" s="18"/>
      <c r="W4" s="21"/>
    </row>
    <row r="5" spans="1:23" ht="28.5" customHeight="1" x14ac:dyDescent="0.25">
      <c r="A5" s="837"/>
      <c r="B5" s="1575" t="s">
        <v>17</v>
      </c>
      <c r="C5" s="1576"/>
      <c r="D5" s="1576"/>
      <c r="E5" s="926" t="s">
        <v>87</v>
      </c>
      <c r="F5" s="927" t="s">
        <v>134</v>
      </c>
      <c r="G5" s="23"/>
      <c r="H5" s="1609" t="s">
        <v>1</v>
      </c>
      <c r="I5" s="1610"/>
      <c r="J5" s="1610"/>
      <c r="K5" s="298" t="s">
        <v>87</v>
      </c>
      <c r="L5" s="299" t="s">
        <v>134</v>
      </c>
      <c r="M5" s="34"/>
      <c r="N5" s="34"/>
      <c r="O5" s="34"/>
      <c r="P5" s="34"/>
      <c r="Q5" s="34"/>
      <c r="R5" s="18"/>
      <c r="S5" s="21"/>
      <c r="T5" s="21"/>
      <c r="U5" s="21"/>
      <c r="V5" s="21"/>
      <c r="W5" s="21"/>
    </row>
    <row r="6" spans="1:23" ht="14.25" customHeight="1" x14ac:dyDescent="0.25">
      <c r="A6" s="19"/>
      <c r="B6" s="290" t="s">
        <v>19</v>
      </c>
      <c r="C6" s="1570" t="s">
        <v>277</v>
      </c>
      <c r="D6" s="1570"/>
      <c r="E6" s="291">
        <v>6</v>
      </c>
      <c r="F6" s="292">
        <f>Energy!H6</f>
        <v>0</v>
      </c>
      <c r="G6" s="23"/>
      <c r="H6" s="303" t="s">
        <v>26</v>
      </c>
      <c r="I6" s="1570" t="s">
        <v>27</v>
      </c>
      <c r="J6" s="1570"/>
      <c r="K6" s="291">
        <v>1</v>
      </c>
      <c r="L6" s="292">
        <f>'Health &amp; Comfort'!H7</f>
        <v>0</v>
      </c>
      <c r="M6" s="34"/>
      <c r="N6" s="34"/>
      <c r="O6" s="34"/>
      <c r="P6" s="34"/>
      <c r="Q6" s="34"/>
      <c r="R6" s="18"/>
      <c r="S6" s="21"/>
      <c r="T6" s="21"/>
      <c r="U6" s="21"/>
      <c r="V6" s="21"/>
      <c r="W6" s="21"/>
    </row>
    <row r="7" spans="1:23" ht="14.25" customHeight="1" x14ac:dyDescent="0.25">
      <c r="A7" s="19"/>
      <c r="B7" s="285" t="s">
        <v>20</v>
      </c>
      <c r="C7" s="1555" t="s">
        <v>23</v>
      </c>
      <c r="D7" s="1555"/>
      <c r="E7" s="280">
        <v>5</v>
      </c>
      <c r="F7" s="293">
        <f>Energy!H7</f>
        <v>0</v>
      </c>
      <c r="G7" s="23"/>
      <c r="H7" s="286" t="s">
        <v>28</v>
      </c>
      <c r="I7" s="1555" t="s">
        <v>845</v>
      </c>
      <c r="J7" s="1555"/>
      <c r="K7" s="280">
        <v>4</v>
      </c>
      <c r="L7" s="990">
        <f>'Health &amp; Comfort'!H8</f>
        <v>0</v>
      </c>
      <c r="M7" s="34"/>
      <c r="N7" s="34"/>
      <c r="O7" s="34"/>
      <c r="P7" s="34"/>
      <c r="Q7" s="34"/>
      <c r="R7" s="18"/>
      <c r="S7" s="21"/>
      <c r="T7" s="21"/>
      <c r="U7" s="21"/>
      <c r="V7" s="21"/>
      <c r="W7" s="21"/>
    </row>
    <row r="8" spans="1:23" ht="14.25" customHeight="1" x14ac:dyDescent="0.25">
      <c r="A8" s="19"/>
      <c r="B8" s="285" t="s">
        <v>21</v>
      </c>
      <c r="C8" s="1555" t="s">
        <v>24</v>
      </c>
      <c r="D8" s="1555"/>
      <c r="E8" s="280">
        <v>4</v>
      </c>
      <c r="F8" s="504">
        <f ca="1">Energy!H8</f>
        <v>0</v>
      </c>
      <c r="G8" s="23"/>
      <c r="H8" s="286" t="s">
        <v>31</v>
      </c>
      <c r="I8" s="1555" t="s">
        <v>268</v>
      </c>
      <c r="J8" s="1555"/>
      <c r="K8" s="280">
        <v>1</v>
      </c>
      <c r="L8" s="990">
        <f>'Health &amp; Comfort'!H9</f>
        <v>0</v>
      </c>
      <c r="M8" s="34"/>
      <c r="N8" s="34"/>
      <c r="O8" s="34"/>
      <c r="P8" s="34"/>
      <c r="Q8" s="34"/>
      <c r="R8" s="18"/>
      <c r="S8" s="21"/>
      <c r="T8" s="21"/>
      <c r="U8" s="21"/>
      <c r="V8" s="21"/>
      <c r="W8" s="21"/>
    </row>
    <row r="9" spans="1:23" ht="14.25" customHeight="1" x14ac:dyDescent="0.25">
      <c r="A9" s="19"/>
      <c r="B9" s="928" t="s">
        <v>22</v>
      </c>
      <c r="C9" s="1555" t="s">
        <v>1616</v>
      </c>
      <c r="D9" s="1555"/>
      <c r="E9" s="924">
        <v>1</v>
      </c>
      <c r="F9" s="504">
        <f>Energy!H9</f>
        <v>0</v>
      </c>
      <c r="G9" s="23"/>
      <c r="H9" s="286" t="s">
        <v>33</v>
      </c>
      <c r="I9" s="1555" t="s">
        <v>269</v>
      </c>
      <c r="J9" s="1555"/>
      <c r="K9" s="280">
        <v>1</v>
      </c>
      <c r="L9" s="1026">
        <f>'Health &amp; Comfort'!H10</f>
        <v>0</v>
      </c>
      <c r="M9" s="34"/>
      <c r="N9" s="34"/>
      <c r="O9" s="34"/>
      <c r="P9" s="34"/>
      <c r="Q9" s="34"/>
      <c r="R9" s="18"/>
      <c r="S9" s="21"/>
      <c r="T9" s="21"/>
      <c r="U9" s="21"/>
      <c r="V9" s="21"/>
      <c r="W9" s="21"/>
    </row>
    <row r="10" spans="1:23" ht="14.25" customHeight="1" x14ac:dyDescent="0.25">
      <c r="A10" s="19"/>
      <c r="B10" s="294" t="s">
        <v>1617</v>
      </c>
      <c r="C10" s="1561" t="s">
        <v>1618</v>
      </c>
      <c r="D10" s="1561"/>
      <c r="E10" s="925">
        <v>2</v>
      </c>
      <c r="F10" s="922">
        <f>Energy!H10</f>
        <v>0</v>
      </c>
      <c r="G10" s="23"/>
      <c r="H10" s="286" t="s">
        <v>205</v>
      </c>
      <c r="I10" s="923" t="s">
        <v>34</v>
      </c>
      <c r="J10" s="923"/>
      <c r="K10" s="280">
        <v>2</v>
      </c>
      <c r="L10" s="1026">
        <f>'Health &amp; Comfort'!H11</f>
        <v>0</v>
      </c>
      <c r="M10" s="34"/>
      <c r="N10" s="34"/>
      <c r="O10" s="34"/>
      <c r="P10" s="34"/>
      <c r="Q10" s="34"/>
      <c r="R10" s="18"/>
      <c r="S10" s="21"/>
      <c r="T10" s="21"/>
      <c r="U10" s="21"/>
      <c r="V10" s="21"/>
      <c r="W10" s="21"/>
    </row>
    <row r="11" spans="1:23" ht="14.25" customHeight="1" x14ac:dyDescent="0.25">
      <c r="A11" s="19"/>
      <c r="B11" s="19"/>
      <c r="C11" s="19"/>
      <c r="D11" s="289" t="s">
        <v>25</v>
      </c>
      <c r="E11" s="296">
        <f>SUM(E6:E10)</f>
        <v>18</v>
      </c>
      <c r="F11" s="297">
        <f ca="1">SUM(F6:F10)</f>
        <v>0</v>
      </c>
      <c r="G11" s="23"/>
      <c r="H11" s="286" t="s">
        <v>255</v>
      </c>
      <c r="I11" s="923" t="s">
        <v>266</v>
      </c>
      <c r="J11" s="923"/>
      <c r="K11" s="280">
        <v>2</v>
      </c>
      <c r="L11" s="1026">
        <f>'Health &amp; Comfort'!H12</f>
        <v>0</v>
      </c>
      <c r="M11" s="34"/>
      <c r="N11" s="34"/>
      <c r="O11" s="34"/>
      <c r="P11" s="34"/>
      <c r="Q11" s="34"/>
      <c r="R11" s="18"/>
      <c r="S11" s="21"/>
      <c r="T11" s="21"/>
      <c r="U11" s="21"/>
      <c r="V11" s="21"/>
      <c r="W11" s="21"/>
    </row>
    <row r="12" spans="1:23" ht="14.25" customHeight="1" x14ac:dyDescent="0.25">
      <c r="A12" s="19"/>
      <c r="B12" s="19"/>
      <c r="C12" s="19"/>
      <c r="D12" s="19"/>
      <c r="E12" s="19"/>
      <c r="F12" s="19"/>
      <c r="G12" s="19"/>
      <c r="H12" s="286" t="s">
        <v>256</v>
      </c>
      <c r="I12" s="1555" t="s">
        <v>267</v>
      </c>
      <c r="J12" s="1555"/>
      <c r="K12" s="280">
        <v>1</v>
      </c>
      <c r="L12" s="1026">
        <f>'Health &amp; Comfort'!H13</f>
        <v>0</v>
      </c>
      <c r="M12" s="34"/>
      <c r="N12" s="34"/>
      <c r="O12" s="34"/>
      <c r="P12" s="34"/>
      <c r="Q12" s="34"/>
      <c r="R12" s="18"/>
      <c r="S12" s="21"/>
      <c r="T12" s="21"/>
      <c r="U12" s="21"/>
      <c r="V12" s="21"/>
      <c r="W12" s="21"/>
    </row>
    <row r="13" spans="1:23" ht="14.25" customHeight="1" x14ac:dyDescent="0.25">
      <c r="A13" s="19"/>
      <c r="B13" s="1562" t="s">
        <v>13</v>
      </c>
      <c r="C13" s="1563"/>
      <c r="D13" s="1563"/>
      <c r="E13" s="1566" t="s">
        <v>87</v>
      </c>
      <c r="F13" s="1568" t="s">
        <v>134</v>
      </c>
      <c r="G13" s="34"/>
      <c r="H13" s="294" t="s">
        <v>1617</v>
      </c>
      <c r="I13" s="1561" t="s">
        <v>1618</v>
      </c>
      <c r="J13" s="1561"/>
      <c r="K13" s="288">
        <v>5</v>
      </c>
      <c r="L13" s="295">
        <f>'Health &amp; Comfort'!H14</f>
        <v>0</v>
      </c>
      <c r="M13" s="34"/>
      <c r="N13" s="34"/>
      <c r="O13" s="34"/>
      <c r="P13" s="34"/>
      <c r="Q13" s="34"/>
      <c r="R13" s="18"/>
      <c r="S13" s="21"/>
      <c r="T13" s="21"/>
      <c r="U13" s="21"/>
      <c r="V13" s="21"/>
      <c r="W13" s="21"/>
    </row>
    <row r="14" spans="1:23" ht="14.25" customHeight="1" x14ac:dyDescent="0.25">
      <c r="A14" s="19"/>
      <c r="B14" s="1564"/>
      <c r="C14" s="1565"/>
      <c r="D14" s="1565"/>
      <c r="E14" s="1567"/>
      <c r="F14" s="1569"/>
      <c r="G14" s="34"/>
      <c r="H14" s="34"/>
      <c r="I14" s="34"/>
      <c r="J14" s="289" t="s">
        <v>25</v>
      </c>
      <c r="K14" s="296">
        <f>SUM(K6:K13)</f>
        <v>17</v>
      </c>
      <c r="L14" s="297">
        <f>SUM(L6:L13)</f>
        <v>0</v>
      </c>
      <c r="M14" s="34"/>
      <c r="N14" s="34"/>
      <c r="O14" s="34"/>
      <c r="P14" s="34"/>
      <c r="Q14" s="34"/>
      <c r="R14" s="18"/>
      <c r="S14" s="21"/>
      <c r="T14" s="21"/>
      <c r="U14" s="21"/>
      <c r="V14" s="21"/>
      <c r="W14" s="21"/>
    </row>
    <row r="15" spans="1:23" ht="14.25" customHeight="1" x14ac:dyDescent="0.25">
      <c r="A15" s="19"/>
      <c r="B15" s="290" t="s">
        <v>29</v>
      </c>
      <c r="C15" s="1570" t="s">
        <v>30</v>
      </c>
      <c r="D15" s="1570"/>
      <c r="E15" s="291">
        <v>5</v>
      </c>
      <c r="F15" s="292">
        <f>Water!H8</f>
        <v>0</v>
      </c>
      <c r="G15" s="34"/>
      <c r="H15" s="34"/>
      <c r="I15" s="34"/>
      <c r="J15" s="34"/>
      <c r="K15" s="34"/>
      <c r="L15" s="34"/>
      <c r="M15" s="34"/>
      <c r="N15" s="34"/>
      <c r="O15" s="34"/>
      <c r="P15" s="34"/>
      <c r="Q15" s="34"/>
      <c r="R15" s="18"/>
      <c r="S15" s="21"/>
      <c r="T15" s="21"/>
      <c r="U15" s="21"/>
      <c r="V15" s="21"/>
      <c r="W15" s="21"/>
    </row>
    <row r="16" spans="1:23" ht="14.25" customHeight="1" x14ac:dyDescent="0.25">
      <c r="A16" s="19"/>
      <c r="B16" s="294" t="s">
        <v>32</v>
      </c>
      <c r="C16" s="1561" t="s">
        <v>65</v>
      </c>
      <c r="D16" s="1561"/>
      <c r="E16" s="288">
        <v>1</v>
      </c>
      <c r="F16" s="295">
        <f>Water!H9</f>
        <v>0</v>
      </c>
      <c r="G16" s="34"/>
      <c r="H16" s="1571" t="s">
        <v>2297</v>
      </c>
      <c r="I16" s="1572"/>
      <c r="J16" s="1572"/>
      <c r="K16" s="1579" t="s">
        <v>87</v>
      </c>
      <c r="L16" s="1581" t="s">
        <v>134</v>
      </c>
      <c r="M16" s="34"/>
      <c r="N16" s="34"/>
      <c r="O16" s="34"/>
      <c r="P16" s="34"/>
      <c r="Q16" s="34"/>
      <c r="R16" s="18"/>
      <c r="S16" s="21"/>
      <c r="T16" s="21"/>
      <c r="U16" s="21"/>
      <c r="V16" s="21"/>
      <c r="W16" s="21"/>
    </row>
    <row r="17" spans="1:23" ht="14.25" customHeight="1" x14ac:dyDescent="0.25">
      <c r="A17" s="19"/>
      <c r="B17" s="19"/>
      <c r="C17" s="19"/>
      <c r="D17" s="961" t="s">
        <v>25</v>
      </c>
      <c r="E17" s="296">
        <f>SUM(E15:E16)</f>
        <v>6</v>
      </c>
      <c r="F17" s="297">
        <f>SUM(F15:F16)</f>
        <v>0</v>
      </c>
      <c r="G17" s="34"/>
      <c r="H17" s="1573"/>
      <c r="I17" s="1574"/>
      <c r="J17" s="1574"/>
      <c r="K17" s="1580"/>
      <c r="L17" s="1582"/>
      <c r="M17" s="34"/>
      <c r="N17" s="34"/>
      <c r="O17" s="34"/>
      <c r="P17" s="34"/>
      <c r="Q17" s="34"/>
      <c r="R17" s="18"/>
      <c r="S17" s="21"/>
      <c r="T17" s="21"/>
      <c r="U17" s="21"/>
      <c r="V17" s="21"/>
      <c r="W17" s="21"/>
    </row>
    <row r="18" spans="1:23" ht="14.25" customHeight="1" x14ac:dyDescent="0.25">
      <c r="A18" s="19"/>
      <c r="B18" s="19"/>
      <c r="C18" s="19"/>
      <c r="D18" s="19"/>
      <c r="E18" s="19"/>
      <c r="F18" s="19"/>
      <c r="G18" s="34"/>
      <c r="H18" s="303" t="s">
        <v>2295</v>
      </c>
      <c r="I18" s="1570" t="s">
        <v>1467</v>
      </c>
      <c r="J18" s="1570"/>
      <c r="K18" s="291">
        <v>3</v>
      </c>
      <c r="L18" s="292">
        <f>'Site &amp; Environment'!H6</f>
        <v>0</v>
      </c>
      <c r="M18" s="34"/>
      <c r="N18" s="34"/>
      <c r="O18" s="34"/>
      <c r="P18" s="34"/>
      <c r="Q18" s="34"/>
      <c r="R18" s="18"/>
      <c r="S18" s="21"/>
      <c r="T18" s="21"/>
      <c r="U18" s="21"/>
      <c r="V18" s="21"/>
      <c r="W18" s="21"/>
    </row>
    <row r="19" spans="1:23" ht="14.25" customHeight="1" x14ac:dyDescent="0.25">
      <c r="A19" s="19"/>
      <c r="B19" s="1583" t="s">
        <v>2287</v>
      </c>
      <c r="C19" s="1584"/>
      <c r="D19" s="1584"/>
      <c r="E19" s="1587" t="s">
        <v>87</v>
      </c>
      <c r="F19" s="1589" t="s">
        <v>134</v>
      </c>
      <c r="G19" s="34"/>
      <c r="H19" s="286" t="s">
        <v>2312</v>
      </c>
      <c r="I19" s="1555" t="s">
        <v>2023</v>
      </c>
      <c r="J19" s="1555"/>
      <c r="K19" s="280">
        <v>1</v>
      </c>
      <c r="L19" s="293">
        <f>'Site &amp; Environment'!H7</f>
        <v>0</v>
      </c>
      <c r="M19" s="34"/>
      <c r="N19" s="34"/>
      <c r="O19" s="34"/>
      <c r="P19" s="34"/>
      <c r="Q19" s="34"/>
      <c r="R19" s="18"/>
      <c r="S19" s="21"/>
      <c r="T19" s="21"/>
      <c r="U19" s="21"/>
      <c r="V19" s="21"/>
      <c r="W19" s="21"/>
    </row>
    <row r="20" spans="1:23" ht="14.25" customHeight="1" x14ac:dyDescent="0.25">
      <c r="A20" s="19"/>
      <c r="B20" s="1585"/>
      <c r="C20" s="1586"/>
      <c r="D20" s="1586"/>
      <c r="E20" s="1588"/>
      <c r="F20" s="1590"/>
      <c r="G20" s="34"/>
      <c r="H20" s="286" t="s">
        <v>2313</v>
      </c>
      <c r="I20" s="1555" t="s">
        <v>257</v>
      </c>
      <c r="J20" s="1555"/>
      <c r="K20" s="280">
        <v>2</v>
      </c>
      <c r="L20" s="293">
        <f>'Site &amp; Environment'!H8</f>
        <v>0</v>
      </c>
      <c r="M20" s="34"/>
      <c r="N20" s="34"/>
      <c r="O20" s="34"/>
      <c r="P20" s="34"/>
      <c r="Q20" s="34"/>
      <c r="R20" s="18"/>
      <c r="S20" s="21"/>
      <c r="T20" s="21"/>
      <c r="U20" s="21"/>
      <c r="V20" s="21"/>
      <c r="W20" s="21"/>
    </row>
    <row r="21" spans="1:23" ht="14.25" customHeight="1" x14ac:dyDescent="0.25">
      <c r="A21" s="19"/>
      <c r="B21" s="290" t="s">
        <v>2286</v>
      </c>
      <c r="C21" s="1570" t="s">
        <v>253</v>
      </c>
      <c r="D21" s="1570"/>
      <c r="E21" s="291">
        <v>4</v>
      </c>
      <c r="F21" s="292">
        <f>'Materials &amp; Resources'!H7</f>
        <v>0</v>
      </c>
      <c r="G21" s="34"/>
      <c r="H21" s="286" t="s">
        <v>2311</v>
      </c>
      <c r="I21" s="1555" t="s">
        <v>36</v>
      </c>
      <c r="J21" s="1555"/>
      <c r="K21" s="1217">
        <v>1</v>
      </c>
      <c r="L21" s="1220">
        <f>'Site &amp; Environment'!H9</f>
        <v>0</v>
      </c>
      <c r="M21" s="34"/>
      <c r="N21" s="34"/>
      <c r="O21" s="34"/>
      <c r="P21" s="34"/>
      <c r="Q21" s="34"/>
      <c r="R21" s="18"/>
      <c r="S21" s="21"/>
      <c r="T21" s="21"/>
      <c r="U21" s="21"/>
      <c r="V21" s="21"/>
      <c r="W21" s="21"/>
    </row>
    <row r="22" spans="1:23" ht="14.25" customHeight="1" x14ac:dyDescent="0.25">
      <c r="A22" s="19"/>
      <c r="B22" s="1216" t="s">
        <v>2285</v>
      </c>
      <c r="C22" s="1555" t="s">
        <v>254</v>
      </c>
      <c r="D22" s="1555"/>
      <c r="E22" s="1217">
        <v>4</v>
      </c>
      <c r="F22" s="1220">
        <f>'Materials &amp; Resources'!H8</f>
        <v>0</v>
      </c>
      <c r="G22" s="34"/>
      <c r="H22" s="287" t="s">
        <v>1617</v>
      </c>
      <c r="I22" s="1561" t="s">
        <v>1618</v>
      </c>
      <c r="J22" s="1561"/>
      <c r="K22" s="288">
        <v>1</v>
      </c>
      <c r="L22" s="295">
        <f>'Site &amp; Environment'!H10</f>
        <v>0</v>
      </c>
      <c r="M22" s="34"/>
      <c r="N22" s="21"/>
      <c r="O22" s="21"/>
      <c r="P22" s="21"/>
      <c r="Q22" s="21"/>
      <c r="R22" s="21"/>
      <c r="S22" s="21"/>
      <c r="T22" s="21"/>
      <c r="U22" s="21"/>
      <c r="V22" s="21"/>
      <c r="W22" s="21"/>
    </row>
    <row r="23" spans="1:23" ht="14.25" customHeight="1" x14ac:dyDescent="0.25">
      <c r="A23" s="19"/>
      <c r="B23" s="1216" t="s">
        <v>2283</v>
      </c>
      <c r="C23" s="1555" t="s">
        <v>1949</v>
      </c>
      <c r="D23" s="1555"/>
      <c r="E23" s="1217">
        <v>2</v>
      </c>
      <c r="F23" s="1220">
        <f>'Materials &amp; Resources'!H9</f>
        <v>0</v>
      </c>
      <c r="G23" s="34"/>
      <c r="H23" s="18"/>
      <c r="I23" s="18"/>
      <c r="J23" s="289" t="s">
        <v>25</v>
      </c>
      <c r="K23" s="296">
        <f>SUM(K18:K22)</f>
        <v>8</v>
      </c>
      <c r="L23" s="297">
        <f>SUM(L18:L22)</f>
        <v>0</v>
      </c>
      <c r="M23" s="34"/>
      <c r="N23" s="21"/>
      <c r="O23" s="21"/>
      <c r="P23" s="21"/>
      <c r="Q23" s="21"/>
      <c r="R23" s="21"/>
      <c r="S23" s="21"/>
      <c r="T23" s="21"/>
      <c r="U23" s="21"/>
      <c r="V23" s="21"/>
      <c r="W23" s="21"/>
    </row>
    <row r="24" spans="1:23" ht="14.25" customHeight="1" x14ac:dyDescent="0.25">
      <c r="A24" s="19"/>
      <c r="B24" s="294" t="s">
        <v>2284</v>
      </c>
      <c r="C24" s="1561" t="s">
        <v>1948</v>
      </c>
      <c r="D24" s="1561"/>
      <c r="E24" s="1218">
        <v>2</v>
      </c>
      <c r="F24" s="295">
        <f>'Materials &amp; Resources'!H10</f>
        <v>0</v>
      </c>
      <c r="G24" s="34"/>
      <c r="H24" s="34"/>
      <c r="I24" s="34"/>
      <c r="J24" s="34"/>
      <c r="K24" s="34"/>
      <c r="L24" s="34"/>
      <c r="M24" s="34"/>
      <c r="N24" s="21"/>
      <c r="O24" s="21"/>
      <c r="P24" s="21"/>
      <c r="Q24" s="21"/>
      <c r="R24" s="21"/>
      <c r="S24" s="21"/>
      <c r="T24" s="21"/>
      <c r="U24" s="21"/>
      <c r="V24" s="21"/>
      <c r="W24" s="21"/>
    </row>
    <row r="25" spans="1:23" ht="14.25" customHeight="1" x14ac:dyDescent="0.25">
      <c r="A25" s="19"/>
      <c r="B25" s="19"/>
      <c r="C25" s="19"/>
      <c r="D25" s="300" t="s">
        <v>25</v>
      </c>
      <c r="E25" s="301">
        <f>SUM(E21:E24)</f>
        <v>12</v>
      </c>
      <c r="F25" s="302">
        <f>SUM(F21:F24)</f>
        <v>0</v>
      </c>
      <c r="G25" s="21"/>
      <c r="H25" s="1603" t="s">
        <v>198</v>
      </c>
      <c r="I25" s="1604"/>
      <c r="J25" s="1604"/>
      <c r="K25" s="1607" t="s">
        <v>87</v>
      </c>
      <c r="L25" s="1593" t="s">
        <v>134</v>
      </c>
      <c r="M25" s="34"/>
      <c r="N25" s="31"/>
      <c r="O25" s="31"/>
      <c r="P25" s="31"/>
      <c r="Q25" s="31"/>
      <c r="R25" s="31"/>
      <c r="S25" s="31"/>
      <c r="T25" s="21"/>
      <c r="U25" s="21"/>
      <c r="V25" s="21"/>
      <c r="W25" s="21"/>
    </row>
    <row r="26" spans="1:23" ht="14.25" customHeight="1" x14ac:dyDescent="0.25">
      <c r="A26" s="19"/>
      <c r="B26" s="19"/>
      <c r="C26" s="19"/>
      <c r="D26" s="19"/>
      <c r="E26" s="19"/>
      <c r="F26" s="19"/>
      <c r="G26" s="21"/>
      <c r="H26" s="1605"/>
      <c r="I26" s="1606"/>
      <c r="J26" s="1606"/>
      <c r="K26" s="1608"/>
      <c r="L26" s="1594"/>
      <c r="M26" s="34"/>
      <c r="N26" s="31"/>
      <c r="O26" s="31"/>
      <c r="P26" s="31"/>
      <c r="Q26" s="31"/>
      <c r="R26" s="31"/>
      <c r="S26" s="31"/>
      <c r="T26" s="21"/>
      <c r="U26" s="21"/>
      <c r="V26" s="21"/>
      <c r="W26" s="21"/>
    </row>
    <row r="27" spans="1:23" ht="14.25" customHeight="1" x14ac:dyDescent="0.25">
      <c r="A27" s="19"/>
      <c r="B27" s="1595" t="s">
        <v>2273</v>
      </c>
      <c r="C27" s="1596"/>
      <c r="D27" s="1596"/>
      <c r="E27" s="1599" t="s">
        <v>87</v>
      </c>
      <c r="F27" s="1601" t="s">
        <v>134</v>
      </c>
      <c r="G27" s="21"/>
      <c r="H27" s="1041" t="s">
        <v>258</v>
      </c>
      <c r="I27" s="1555" t="s">
        <v>262</v>
      </c>
      <c r="J27" s="1555"/>
      <c r="K27" s="1043">
        <v>2</v>
      </c>
      <c r="L27" s="1045">
        <f>Management!H6</f>
        <v>0</v>
      </c>
      <c r="M27" s="34"/>
      <c r="N27" s="31"/>
      <c r="O27" s="31"/>
      <c r="P27" s="31"/>
      <c r="Q27" s="31"/>
      <c r="R27" s="31"/>
      <c r="S27" s="31"/>
      <c r="T27" s="21"/>
      <c r="U27" s="21"/>
      <c r="V27" s="21"/>
      <c r="W27" s="21"/>
    </row>
    <row r="28" spans="1:23" ht="14.25" customHeight="1" x14ac:dyDescent="0.25">
      <c r="A28" s="19"/>
      <c r="B28" s="1597"/>
      <c r="C28" s="1598"/>
      <c r="D28" s="1598"/>
      <c r="E28" s="1600"/>
      <c r="F28" s="1602"/>
      <c r="G28" s="21"/>
      <c r="H28" s="1042" t="s">
        <v>259</v>
      </c>
      <c r="I28" s="1555" t="s">
        <v>263</v>
      </c>
      <c r="J28" s="1555"/>
      <c r="K28" s="1044">
        <v>1</v>
      </c>
      <c r="L28" s="1062">
        <f>Management!H7</f>
        <v>0</v>
      </c>
      <c r="M28" s="34"/>
      <c r="N28" s="31"/>
      <c r="V28" s="21"/>
      <c r="W28" s="21"/>
    </row>
    <row r="29" spans="1:23" ht="14.25" customHeight="1" x14ac:dyDescent="0.25">
      <c r="A29" s="19"/>
      <c r="B29" s="303" t="s">
        <v>2277</v>
      </c>
      <c r="C29" s="1570" t="s">
        <v>2279</v>
      </c>
      <c r="D29" s="1570"/>
      <c r="E29" s="1577">
        <v>4</v>
      </c>
      <c r="F29" s="1219">
        <f>'Exceptional Performance'!H6</f>
        <v>0</v>
      </c>
      <c r="G29" s="21"/>
      <c r="H29" s="1042" t="s">
        <v>260</v>
      </c>
      <c r="I29" s="1555" t="s">
        <v>264</v>
      </c>
      <c r="J29" s="1555"/>
      <c r="K29" s="280">
        <v>2</v>
      </c>
      <c r="L29" s="1062">
        <f>Management!H8</f>
        <v>0</v>
      </c>
      <c r="M29" s="34"/>
      <c r="N29" s="1560" t="s">
        <v>88</v>
      </c>
      <c r="O29" s="1560"/>
      <c r="P29" s="1560"/>
      <c r="Q29" s="1560"/>
      <c r="R29" s="21"/>
      <c r="S29" s="1560" t="s">
        <v>153</v>
      </c>
      <c r="T29" s="1560"/>
      <c r="U29" s="1560"/>
      <c r="V29" s="1560"/>
      <c r="W29" s="21"/>
    </row>
    <row r="30" spans="1:23" ht="14.25" customHeight="1" x14ac:dyDescent="0.25">
      <c r="A30" s="19"/>
      <c r="B30" s="294" t="s">
        <v>2276</v>
      </c>
      <c r="C30" s="1561" t="s">
        <v>2310</v>
      </c>
      <c r="D30" s="1561"/>
      <c r="E30" s="1578"/>
      <c r="F30" s="295">
        <f>'Exceptional Performance'!H7</f>
        <v>0</v>
      </c>
      <c r="G30" s="21"/>
      <c r="H30" s="1042" t="s">
        <v>261</v>
      </c>
      <c r="I30" s="1555" t="s">
        <v>265</v>
      </c>
      <c r="J30" s="1555"/>
      <c r="K30" s="280">
        <v>2</v>
      </c>
      <c r="L30" s="802">
        <f>Management!H9</f>
        <v>0</v>
      </c>
      <c r="M30" s="34"/>
      <c r="N30" s="1560"/>
      <c r="O30" s="1560"/>
      <c r="P30" s="1560"/>
      <c r="Q30" s="1560"/>
      <c r="R30" s="21"/>
      <c r="S30" s="1560"/>
      <c r="T30" s="1560"/>
      <c r="U30" s="1560"/>
      <c r="V30" s="1560"/>
      <c r="W30" s="34"/>
    </row>
    <row r="31" spans="1:23" ht="14.25" customHeight="1" x14ac:dyDescent="0.25">
      <c r="A31" s="19"/>
      <c r="B31" s="21"/>
      <c r="C31" s="21"/>
      <c r="D31" s="300" t="s">
        <v>25</v>
      </c>
      <c r="E31" s="301">
        <f>SUM(E29)</f>
        <v>4</v>
      </c>
      <c r="F31" s="302">
        <f>MIN(4,SUM(F29:F30))</f>
        <v>0</v>
      </c>
      <c r="G31" s="21"/>
      <c r="H31" s="294" t="s">
        <v>1617</v>
      </c>
      <c r="I31" s="1561" t="s">
        <v>1618</v>
      </c>
      <c r="J31" s="1561"/>
      <c r="K31" s="288">
        <v>3</v>
      </c>
      <c r="L31" s="295">
        <f>Management!H10</f>
        <v>0</v>
      </c>
      <c r="M31" s="34"/>
      <c r="N31" s="1556" t="str">
        <f ca="1">CONCATENATE(F11+F17+F25+L14+L23+L32+F31," / ",E11+E17+E25+K14+K23+K32+E31," points")</f>
        <v>0 / 75 points</v>
      </c>
      <c r="O31" s="1557"/>
      <c r="P31" s="1557"/>
      <c r="Q31" s="1557"/>
      <c r="R31" s="18"/>
      <c r="S31" s="1554" t="str">
        <f ca="1">IF(F11+F17+F25+L14+L23+L32+F31&gt;44,"Platinum",IF(F11+F17+F25+L14+L23+L32+F31&gt;38,"Gold",IF(F11+F17+F25+L14+L23+L32+F31&gt;32,"Silver",IF(F11+F17+F25+L14+L23+L32+F31&gt;23,"Certified","Uncertified"))))</f>
        <v>Uncertified</v>
      </c>
      <c r="T31" s="1554"/>
      <c r="U31" s="1554"/>
      <c r="V31" s="1554"/>
      <c r="W31" s="34"/>
    </row>
    <row r="32" spans="1:23" ht="14.25" customHeight="1" x14ac:dyDescent="0.25">
      <c r="A32" s="19"/>
      <c r="B32" s="21"/>
      <c r="C32" s="21"/>
      <c r="D32" s="21"/>
      <c r="E32" s="21"/>
      <c r="F32" s="21"/>
      <c r="G32" s="21"/>
      <c r="H32" s="18"/>
      <c r="I32" s="18"/>
      <c r="J32" s="289" t="s">
        <v>25</v>
      </c>
      <c r="K32" s="296">
        <f>SUM(K27:K31)</f>
        <v>10</v>
      </c>
      <c r="L32" s="297">
        <f>SUM(L27:L31)</f>
        <v>0</v>
      </c>
      <c r="M32" s="18"/>
      <c r="N32" s="1558"/>
      <c r="O32" s="1559"/>
      <c r="P32" s="1559"/>
      <c r="Q32" s="1559"/>
      <c r="R32" s="18"/>
      <c r="S32" s="1554"/>
      <c r="T32" s="1554"/>
      <c r="U32" s="1554"/>
      <c r="V32" s="1554"/>
      <c r="W32" s="34"/>
    </row>
    <row r="33" spans="1:23" ht="14.25" customHeight="1" x14ac:dyDescent="0.25">
      <c r="A33" s="19"/>
      <c r="B33" s="21"/>
      <c r="C33" s="21"/>
      <c r="D33" s="21"/>
      <c r="E33" s="21"/>
      <c r="F33" s="21"/>
      <c r="G33" s="21"/>
      <c r="H33" s="21"/>
      <c r="I33" s="18"/>
      <c r="J33" s="18"/>
      <c r="K33" s="18"/>
      <c r="L33" s="18"/>
      <c r="M33" s="18"/>
      <c r="R33" s="21"/>
      <c r="W33" s="34"/>
    </row>
    <row r="34" spans="1:23" ht="14.25" hidden="1" customHeight="1" x14ac:dyDescent="0.25">
      <c r="A34" s="19"/>
      <c r="G34" s="21"/>
      <c r="H34" s="21"/>
      <c r="I34" s="18"/>
      <c r="J34" s="18"/>
      <c r="K34" s="18"/>
      <c r="L34" s="18"/>
      <c r="M34" s="21"/>
      <c r="R34" s="18"/>
      <c r="W34" s="34"/>
    </row>
    <row r="35" spans="1:23" ht="12" hidden="1" customHeight="1" x14ac:dyDescent="0.25">
      <c r="A35" s="19"/>
      <c r="G35" s="19"/>
      <c r="H35" s="21"/>
      <c r="I35" s="21"/>
      <c r="J35" s="21"/>
      <c r="K35" s="21"/>
      <c r="L35" s="21"/>
      <c r="M35" s="21"/>
      <c r="N35" s="21"/>
      <c r="O35" s="21"/>
      <c r="R35" s="21"/>
      <c r="W35" s="34"/>
    </row>
    <row r="36" spans="1:23" ht="14.25" hidden="1" customHeight="1" x14ac:dyDescent="0.25">
      <c r="A36" s="19"/>
      <c r="G36" s="21"/>
      <c r="H36" s="21"/>
      <c r="I36" s="21"/>
      <c r="J36" s="21"/>
      <c r="K36" s="21"/>
      <c r="L36" s="21"/>
      <c r="M36" s="21"/>
      <c r="N36" s="21"/>
      <c r="O36" s="21"/>
      <c r="R36" s="18"/>
      <c r="W36" s="34"/>
    </row>
    <row r="37" spans="1:23" ht="14.25" hidden="1" customHeight="1" x14ac:dyDescent="0.25">
      <c r="A37" s="19"/>
      <c r="G37" s="21"/>
      <c r="H37" s="21"/>
      <c r="I37" s="21"/>
      <c r="J37" s="21"/>
      <c r="K37" s="21"/>
      <c r="L37" s="21"/>
      <c r="M37" s="21"/>
      <c r="N37" s="18"/>
      <c r="O37" s="18"/>
      <c r="P37" s="18"/>
      <c r="Q37" s="18"/>
      <c r="R37" s="18"/>
      <c r="W37" s="34"/>
    </row>
    <row r="38" spans="1:23" ht="16.5" hidden="1" customHeight="1" x14ac:dyDescent="0.25">
      <c r="A38" s="21"/>
      <c r="G38" s="20"/>
      <c r="H38" s="21"/>
      <c r="I38" s="21"/>
      <c r="J38" s="21"/>
      <c r="K38" s="21"/>
      <c r="L38" s="21"/>
      <c r="M38" s="21"/>
      <c r="N38" s="18"/>
      <c r="O38" s="18"/>
      <c r="P38" s="18"/>
      <c r="Q38" s="18"/>
      <c r="R38" s="18"/>
      <c r="S38" s="18"/>
      <c r="T38" s="18"/>
      <c r="U38" s="18"/>
      <c r="V38" s="18"/>
      <c r="W38" s="18"/>
    </row>
    <row r="39" spans="1:23" ht="16.5" hidden="1" customHeight="1" x14ac:dyDescent="0.25">
      <c r="A39" s="21"/>
      <c r="G39" s="20"/>
      <c r="H39" s="21"/>
      <c r="I39" s="21"/>
      <c r="J39" s="21"/>
      <c r="K39" s="21"/>
      <c r="L39" s="21"/>
      <c r="M39" s="21"/>
      <c r="N39" s="18"/>
      <c r="O39" s="18"/>
      <c r="P39" s="18"/>
      <c r="Q39" s="18"/>
      <c r="R39" s="18"/>
      <c r="S39" s="18"/>
      <c r="T39" s="18"/>
      <c r="U39" s="18"/>
      <c r="V39" s="18"/>
      <c r="W39" s="18"/>
    </row>
    <row r="40" spans="1:23" ht="18" hidden="1" customHeight="1" x14ac:dyDescent="0.25">
      <c r="A40" s="18"/>
      <c r="G40" s="20"/>
      <c r="H40" s="21"/>
      <c r="I40" s="21"/>
      <c r="J40" s="21"/>
      <c r="K40" s="21"/>
      <c r="L40" s="21"/>
      <c r="M40" s="34"/>
      <c r="N40" s="18"/>
      <c r="O40" s="18"/>
      <c r="P40" s="18"/>
      <c r="Q40" s="18"/>
      <c r="R40" s="18"/>
      <c r="S40" s="18"/>
      <c r="T40" s="18"/>
      <c r="U40" s="18"/>
      <c r="V40" s="18"/>
      <c r="W40" s="18"/>
    </row>
    <row r="41" spans="1:23" ht="16.5" hidden="1" customHeight="1" x14ac:dyDescent="0.25">
      <c r="H41" s="22"/>
      <c r="I41" s="22"/>
      <c r="J41" s="22"/>
      <c r="K41" s="22"/>
      <c r="L41" s="22"/>
      <c r="N41" s="18"/>
      <c r="O41" s="18"/>
      <c r="P41" s="18"/>
      <c r="Q41" s="18"/>
      <c r="R41" s="18"/>
      <c r="S41" s="18"/>
      <c r="T41" s="18"/>
      <c r="U41" s="18"/>
      <c r="V41" s="18"/>
      <c r="W41" s="18"/>
    </row>
    <row r="42" spans="1:23" ht="16.5" hidden="1" customHeight="1" x14ac:dyDescent="0.25">
      <c r="O42" s="18"/>
      <c r="P42" s="18"/>
      <c r="Q42" s="18"/>
      <c r="S42" s="18"/>
      <c r="T42" s="18"/>
      <c r="U42" s="18"/>
      <c r="V42" s="18"/>
      <c r="W42" s="18"/>
    </row>
    <row r="43" spans="1:23" hidden="1" x14ac:dyDescent="0.25"/>
    <row r="44" spans="1:23" hidden="1" x14ac:dyDescent="0.25"/>
    <row r="45" spans="1:23" hidden="1" x14ac:dyDescent="0.25"/>
    <row r="46" spans="1:23" hidden="1" x14ac:dyDescent="0.25"/>
    <row r="47" spans="1:23" hidden="1" x14ac:dyDescent="0.25"/>
    <row r="48" spans="1:2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sheetProtection algorithmName="SHA-512" hashValue="75VdM1bnQN86HeZ+ixurS2rI5Sy+werZys8Ph1aT+0SX/Z7Fjh5H39L4J8go8wegfhpad6FPS/Fj59OPK3fTGQ==" saltValue="TLrVCuFLfM/Yhqn0pm0Odg==" spinCount="100000" sheet="1" objects="1" scenarios="1" formatRows="0"/>
  <mergeCells count="53">
    <mergeCell ref="O4:U4"/>
    <mergeCell ref="A1:XFD3"/>
    <mergeCell ref="L25:L26"/>
    <mergeCell ref="B27:D28"/>
    <mergeCell ref="E27:E28"/>
    <mergeCell ref="F27:F28"/>
    <mergeCell ref="H25:J26"/>
    <mergeCell ref="K25:K26"/>
    <mergeCell ref="I27:J27"/>
    <mergeCell ref="C24:D24"/>
    <mergeCell ref="I6:J6"/>
    <mergeCell ref="I9:J9"/>
    <mergeCell ref="C7:D7"/>
    <mergeCell ref="H5:J5"/>
    <mergeCell ref="C8:D8"/>
    <mergeCell ref="C9:D9"/>
    <mergeCell ref="E29:E30"/>
    <mergeCell ref="K16:K17"/>
    <mergeCell ref="L16:L17"/>
    <mergeCell ref="B19:D20"/>
    <mergeCell ref="E19:E20"/>
    <mergeCell ref="F19:F20"/>
    <mergeCell ref="I18:J18"/>
    <mergeCell ref="C16:D16"/>
    <mergeCell ref="C29:D29"/>
    <mergeCell ref="I22:J22"/>
    <mergeCell ref="C21:D21"/>
    <mergeCell ref="C30:D30"/>
    <mergeCell ref="C6:D6"/>
    <mergeCell ref="B5:D5"/>
    <mergeCell ref="I12:J12"/>
    <mergeCell ref="I7:J7"/>
    <mergeCell ref="I8:J8"/>
    <mergeCell ref="C10:D10"/>
    <mergeCell ref="B13:D14"/>
    <mergeCell ref="E13:E14"/>
    <mergeCell ref="F13:F14"/>
    <mergeCell ref="I13:J13"/>
    <mergeCell ref="I28:J28"/>
    <mergeCell ref="I19:J19"/>
    <mergeCell ref="I20:J20"/>
    <mergeCell ref="C22:D22"/>
    <mergeCell ref="C15:D15"/>
    <mergeCell ref="H16:J17"/>
    <mergeCell ref="C23:D23"/>
    <mergeCell ref="I21:J21"/>
    <mergeCell ref="S31:V32"/>
    <mergeCell ref="I30:J30"/>
    <mergeCell ref="I29:J29"/>
    <mergeCell ref="N31:Q32"/>
    <mergeCell ref="N29:Q30"/>
    <mergeCell ref="S29:V30"/>
    <mergeCell ref="I31:J31"/>
  </mergeCells>
  <conditionalFormatting sqref="S31 N31">
    <cfRule type="expression" dxfId="380" priority="437">
      <formula>$S31="Platinum"</formula>
    </cfRule>
    <cfRule type="expression" dxfId="379" priority="438">
      <formula>$S31="Gold"</formula>
    </cfRule>
    <cfRule type="expression" dxfId="378" priority="439">
      <formula>$S31="Silver"</formula>
    </cfRule>
    <cfRule type="expression" dxfId="377" priority="440">
      <formula>$S31="Uncertified"</formula>
    </cfRule>
    <cfRule type="expression" dxfId="376" priority="441">
      <formula>$S31="Certified"</formula>
    </cfRule>
  </conditionalFormatting>
  <hyperlinks>
    <hyperlink ref="B19:D19" location="Materials!K2" tooltip="Materials" display="Materials" xr:uid="{00000000-0004-0000-0C00-000000000000}"/>
    <hyperlink ref="H5:J5" location="'Health &amp; Comfort'!K2" tooltip="Health &amp; Comfort" display="Health &amp; Comfort" xr:uid="{00000000-0004-0000-0C00-000001000000}"/>
    <hyperlink ref="B5:C5" location="Energy!A1" display="Energy" xr:uid="{00000000-0004-0000-0C00-000002000000}"/>
    <hyperlink ref="H16:J16" location="'Location &amp; Transportation'!K2" tooltip="Location &amp; Transportation" display="Location &amp; Transportation" xr:uid="{00000000-0004-0000-0C00-000003000000}"/>
    <hyperlink ref="H25:J25" location="Management!K2" tooltip="Management" display="Management" xr:uid="{00000000-0004-0000-0C00-000004000000}"/>
    <hyperlink ref="B27:D27" location="Innovation!K2" display="Innovation" xr:uid="{00000000-0004-0000-0C00-000005000000}"/>
    <hyperlink ref="B27:D28" location="'Exceptional Performance'!K2" tooltip="Exceptional Performance" display="Exceptional Performance" xr:uid="{C45CAECB-3CE7-4070-939D-03083201761B}"/>
    <hyperlink ref="H16:J17" location="'Site &amp; Environment'!K2" tooltip="Site &amp; Environment" display="Site &amp; Environment" xr:uid="{0463E8AA-B770-45F4-851C-1D5380A90688}"/>
    <hyperlink ref="B19:D20" location="'Materials &amp; Resources'!K2" tooltip="Materials &amp; Resources" display="Materials &amp; Resources" xr:uid="{0966E288-418D-4D11-9F48-385EA14685FA}"/>
    <hyperlink ref="B13:D14" location="Water!K2" tooltip="Water" display="Water" xr:uid="{E7200A9F-3909-4242-B082-61D0186F2256}"/>
    <hyperlink ref="B5:D5" location="Energy!K2" tooltip="Energy" display="Energy" xr:uid="{0D6C9405-B6E1-4C6C-BDC6-041EBFBAD95A}"/>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U81"/>
  <sheetViews>
    <sheetView showRowColHeaders="0" workbookViewId="0">
      <pane ySplit="2" topLeftCell="A3" activePane="bottomLeft" state="frozen"/>
      <selection pane="bottomLeft" sqref="A1:L1"/>
    </sheetView>
  </sheetViews>
  <sheetFormatPr defaultColWidth="0" defaultRowHeight="15" zeroHeight="1" x14ac:dyDescent="0.25"/>
  <cols>
    <col min="1" max="12" width="11.42578125" customWidth="1"/>
    <col min="13" max="16384" width="11.42578125" hidden="1"/>
  </cols>
  <sheetData>
    <row r="1" spans="1:21" ht="33" customHeight="1" x14ac:dyDescent="0.25">
      <c r="A1" s="1430" t="s">
        <v>196</v>
      </c>
      <c r="B1" s="1430"/>
      <c r="C1" s="1430"/>
      <c r="D1" s="1430"/>
      <c r="E1" s="1430"/>
      <c r="F1" s="1430"/>
      <c r="G1" s="1430"/>
      <c r="H1" s="1430"/>
      <c r="I1" s="1430"/>
      <c r="J1" s="1430"/>
      <c r="K1" s="1430"/>
      <c r="L1" s="1430"/>
      <c r="M1" s="1019"/>
      <c r="N1" s="1019"/>
    </row>
    <row r="2" spans="1:21" s="94" customFormat="1" ht="30" customHeight="1" x14ac:dyDescent="0.25">
      <c r="A2" s="1617" t="s">
        <v>1869</v>
      </c>
      <c r="B2" s="1617"/>
      <c r="C2" s="1617"/>
      <c r="D2" s="1617"/>
      <c r="E2" s="1617"/>
      <c r="F2" s="1617"/>
      <c r="G2" s="1617"/>
      <c r="H2" s="1617"/>
      <c r="I2" s="1617"/>
      <c r="J2" s="1617"/>
      <c r="K2" s="1617"/>
      <c r="L2" s="1617"/>
    </row>
    <row r="3" spans="1:21" x14ac:dyDescent="0.25">
      <c r="A3" s="9"/>
      <c r="B3" s="9"/>
      <c r="C3" s="9"/>
      <c r="D3" s="9"/>
      <c r="E3" s="9"/>
      <c r="F3" s="9"/>
      <c r="G3" s="9"/>
      <c r="H3" s="9"/>
      <c r="I3" s="9"/>
      <c r="J3" s="9"/>
      <c r="K3" s="9"/>
      <c r="L3" s="9"/>
    </row>
    <row r="4" spans="1:21" ht="12.75" customHeight="1" x14ac:dyDescent="0.25">
      <c r="A4" s="9"/>
      <c r="B4" s="9"/>
      <c r="C4" s="9"/>
      <c r="D4" s="9"/>
      <c r="E4" s="9"/>
      <c r="F4" s="9"/>
      <c r="G4" s="9"/>
      <c r="H4" s="9"/>
      <c r="I4" s="9"/>
      <c r="J4" s="9"/>
      <c r="K4" s="9"/>
      <c r="L4" s="9"/>
      <c r="M4" s="9"/>
    </row>
    <row r="5" spans="1:21" x14ac:dyDescent="0.25">
      <c r="A5" s="9"/>
      <c r="B5" s="9"/>
      <c r="C5" s="9"/>
      <c r="D5" s="9"/>
      <c r="E5" s="9"/>
      <c r="F5" s="9"/>
      <c r="G5" s="9"/>
      <c r="H5" s="9"/>
      <c r="I5" s="9"/>
      <c r="J5" s="9"/>
      <c r="K5" s="9"/>
      <c r="L5" s="9"/>
      <c r="N5">
        <f ca="1">'LOTUS SI Scorecard'!F11+'LOTUS SI Scorecard'!F17+'LOTUS SI Scorecard'!F25+'LOTUS SI Scorecard'!L14+'LOTUS SI Scorecard'!L23+'LOTUS SI Scorecard'!L32+'LOTUS SI Scorecard'!F31</f>
        <v>0</v>
      </c>
      <c r="O5">
        <v>24</v>
      </c>
      <c r="P5" t="s">
        <v>127</v>
      </c>
      <c r="R5" t="s">
        <v>17</v>
      </c>
      <c r="S5">
        <f>IF(H22="Exclude BPC",'LOTUS SI Scorecard'!E11-2,'LOTUS SI Scorecard'!E11)</f>
        <v>18</v>
      </c>
      <c r="T5">
        <f ca="1">IF(H22="Exclude BPC",'LOTUS SI Scorecard'!F11-'LOTUS SI Scorecard'!F10,'LOTUS SI Scorecard'!F11)</f>
        <v>0</v>
      </c>
      <c r="U5">
        <f ca="1">S5-T5</f>
        <v>18</v>
      </c>
    </row>
    <row r="6" spans="1:21" x14ac:dyDescent="0.25">
      <c r="A6" s="9"/>
      <c r="B6" s="9"/>
      <c r="C6" s="9"/>
      <c r="D6" s="9"/>
      <c r="E6" s="9"/>
      <c r="F6" s="9"/>
      <c r="G6" s="9"/>
      <c r="H6" s="9"/>
      <c r="I6" s="9"/>
      <c r="J6" s="9"/>
      <c r="K6" s="9"/>
      <c r="L6" s="9"/>
      <c r="N6">
        <f ca="1">MIN(60,N5)</f>
        <v>0</v>
      </c>
      <c r="O6">
        <f>32-O5</f>
        <v>8</v>
      </c>
      <c r="P6" t="s">
        <v>128</v>
      </c>
      <c r="R6" t="s">
        <v>13</v>
      </c>
      <c r="S6">
        <f>'LOTUS SI Scorecard'!E17</f>
        <v>6</v>
      </c>
      <c r="T6">
        <f>'LOTUS SI Scorecard'!F17</f>
        <v>0</v>
      </c>
      <c r="U6">
        <f t="shared" ref="U6:U10" si="0">S6-T6</f>
        <v>6</v>
      </c>
    </row>
    <row r="7" spans="1:21" x14ac:dyDescent="0.25">
      <c r="A7" s="9"/>
      <c r="B7" s="9"/>
      <c r="C7" s="9"/>
      <c r="D7" s="9"/>
      <c r="E7" s="9"/>
      <c r="F7" s="9"/>
      <c r="G7" s="9"/>
      <c r="H7" s="9"/>
      <c r="I7" s="9"/>
      <c r="J7" s="9"/>
      <c r="K7" s="9"/>
      <c r="L7" s="9"/>
      <c r="N7">
        <f ca="1">60-N6</f>
        <v>60</v>
      </c>
      <c r="O7">
        <f>38-32</f>
        <v>6</v>
      </c>
      <c r="P7" t="s">
        <v>129</v>
      </c>
      <c r="R7" t="s">
        <v>2316</v>
      </c>
      <c r="S7">
        <f>'LOTUS SI Scorecard'!E25</f>
        <v>12</v>
      </c>
      <c r="T7">
        <f>'LOTUS SI Scorecard'!F25</f>
        <v>0</v>
      </c>
      <c r="U7">
        <f t="shared" si="0"/>
        <v>12</v>
      </c>
    </row>
    <row r="8" spans="1:21" x14ac:dyDescent="0.25">
      <c r="A8" s="9"/>
      <c r="B8" s="9"/>
      <c r="C8" s="9"/>
      <c r="D8" s="9"/>
      <c r="E8" s="9"/>
      <c r="F8" s="9"/>
      <c r="G8" s="9"/>
      <c r="H8" s="9"/>
      <c r="I8" s="9"/>
      <c r="J8" s="9"/>
      <c r="K8" s="9"/>
      <c r="L8" s="9"/>
      <c r="N8">
        <f>60</f>
        <v>60</v>
      </c>
      <c r="O8">
        <f>44-38</f>
        <v>6</v>
      </c>
      <c r="P8" t="s">
        <v>130</v>
      </c>
      <c r="R8" t="s">
        <v>132</v>
      </c>
      <c r="S8">
        <f>IF(H22="Exclude BPC",'LOTUS SI Scorecard'!K14-5,'LOTUS SI Scorecard'!K14)</f>
        <v>17</v>
      </c>
      <c r="T8">
        <f>IF(H22="Exclude BPC",'LOTUS SI Scorecard'!L14-'LOTUS SI Scorecard'!L13,'LOTUS SI Scorecard'!L14)</f>
        <v>0</v>
      </c>
      <c r="U8">
        <f t="shared" si="0"/>
        <v>17</v>
      </c>
    </row>
    <row r="9" spans="1:21" x14ac:dyDescent="0.25">
      <c r="A9" s="9"/>
      <c r="B9" s="9"/>
      <c r="C9" s="9"/>
      <c r="D9" s="9"/>
      <c r="E9" s="9"/>
      <c r="F9" s="9"/>
      <c r="G9" s="9"/>
      <c r="H9" s="9"/>
      <c r="I9" s="9"/>
      <c r="J9" s="9"/>
      <c r="K9" s="9"/>
      <c r="L9" s="9"/>
      <c r="O9">
        <f>60-44</f>
        <v>16</v>
      </c>
      <c r="P9" t="s">
        <v>131</v>
      </c>
      <c r="R9" t="s">
        <v>2317</v>
      </c>
      <c r="S9">
        <f>IF(H22="Exclude BPC",'LOTUS SI Scorecard'!K23-1,'LOTUS SI Scorecard'!K23)</f>
        <v>8</v>
      </c>
      <c r="T9">
        <f>IF(H22="Exclude BPC",'LOTUS SI Scorecard'!L23-'LOTUS SI Scorecard'!L22,'LOTUS SI Scorecard'!L23)</f>
        <v>0</v>
      </c>
      <c r="U9">
        <f t="shared" si="0"/>
        <v>8</v>
      </c>
    </row>
    <row r="10" spans="1:21" x14ac:dyDescent="0.25">
      <c r="A10" s="9"/>
      <c r="B10" s="9"/>
      <c r="C10" s="9"/>
      <c r="D10" s="9"/>
      <c r="E10" s="9"/>
      <c r="F10" s="9"/>
      <c r="G10" s="9"/>
      <c r="H10" s="9"/>
      <c r="I10" s="9"/>
      <c r="J10" s="9"/>
      <c r="K10" s="9"/>
      <c r="L10" s="9"/>
      <c r="R10" t="s">
        <v>198</v>
      </c>
      <c r="S10">
        <f>IF(H22="Exclude BPC",'LOTUS SI Scorecard'!K32-3,'LOTUS SI Scorecard'!K32)</f>
        <v>10</v>
      </c>
      <c r="T10">
        <f>IF(H22="Exclude BPC",'LOTUS SI Scorecard'!L32-'LOTUS SI Scorecard'!L31,'LOTUS SI Scorecard'!L32)</f>
        <v>0</v>
      </c>
      <c r="U10">
        <f t="shared" si="0"/>
        <v>10</v>
      </c>
    </row>
    <row r="11" spans="1:21" x14ac:dyDescent="0.25">
      <c r="A11" s="9"/>
      <c r="B11" s="9"/>
      <c r="C11" s="9"/>
      <c r="D11" s="9"/>
      <c r="E11" s="9"/>
      <c r="F11" s="9"/>
      <c r="G11" s="9"/>
      <c r="H11" s="9"/>
      <c r="I11" s="9"/>
      <c r="J11" s="9"/>
      <c r="K11" s="9"/>
      <c r="L11" s="9"/>
      <c r="R11" t="s">
        <v>2318</v>
      </c>
      <c r="S11">
        <f>'LOTUS SI Scorecard'!E31</f>
        <v>4</v>
      </c>
      <c r="T11">
        <f>'LOTUS SI Scorecard'!F31</f>
        <v>0</v>
      </c>
      <c r="U11">
        <f t="shared" ref="U11" si="1">S11-T11</f>
        <v>4</v>
      </c>
    </row>
    <row r="12" spans="1:21" x14ac:dyDescent="0.25">
      <c r="A12" s="9"/>
      <c r="B12" s="9"/>
      <c r="C12" s="9"/>
      <c r="D12" s="9"/>
      <c r="E12" s="9"/>
      <c r="F12" s="9"/>
      <c r="G12" s="9"/>
      <c r="H12" s="9"/>
      <c r="I12" s="9"/>
      <c r="J12" s="9"/>
      <c r="K12" s="9"/>
      <c r="L12" s="9"/>
      <c r="O12">
        <f ca="1">MAX(0,N6-0.25)</f>
        <v>0</v>
      </c>
    </row>
    <row r="13" spans="1:21" x14ac:dyDescent="0.25">
      <c r="A13" s="9"/>
      <c r="B13" s="9"/>
      <c r="C13" s="9"/>
      <c r="D13" s="9"/>
      <c r="E13" s="9"/>
      <c r="F13" s="9"/>
      <c r="G13" s="9"/>
      <c r="H13" s="9"/>
      <c r="I13" s="9"/>
      <c r="J13" s="9"/>
      <c r="K13" s="9"/>
      <c r="L13" s="9"/>
      <c r="O13">
        <v>0.5</v>
      </c>
      <c r="R13" t="s">
        <v>17</v>
      </c>
      <c r="S13" s="110">
        <f ca="1">T5/S5</f>
        <v>0</v>
      </c>
    </row>
    <row r="14" spans="1:21" x14ac:dyDescent="0.25">
      <c r="A14" s="9"/>
      <c r="B14" s="9"/>
      <c r="C14" s="9"/>
      <c r="D14" s="9"/>
      <c r="E14" s="9"/>
      <c r="F14" s="9"/>
      <c r="G14" s="9"/>
      <c r="H14" s="9"/>
      <c r="I14" s="9"/>
      <c r="J14" s="9"/>
      <c r="K14" s="9"/>
      <c r="L14" s="9"/>
      <c r="O14">
        <f ca="1">N8-(O12+O13)</f>
        <v>59.5</v>
      </c>
      <c r="R14" t="s">
        <v>13</v>
      </c>
      <c r="S14" s="110">
        <f>T6/S6</f>
        <v>0</v>
      </c>
    </row>
    <row r="15" spans="1:21" x14ac:dyDescent="0.25">
      <c r="A15" s="9"/>
      <c r="B15" s="9"/>
      <c r="C15" s="9"/>
      <c r="D15" s="9"/>
      <c r="E15" s="9"/>
      <c r="F15" s="9"/>
      <c r="G15" s="9"/>
      <c r="H15" s="9"/>
      <c r="I15" s="9"/>
      <c r="J15" s="9"/>
      <c r="K15" s="9"/>
      <c r="L15" s="9"/>
      <c r="R15" t="s">
        <v>2316</v>
      </c>
      <c r="S15" s="110">
        <f>T7/S7</f>
        <v>0</v>
      </c>
    </row>
    <row r="16" spans="1:21" x14ac:dyDescent="0.25">
      <c r="A16" s="9"/>
      <c r="B16" s="9"/>
      <c r="C16" s="9"/>
      <c r="D16" s="9"/>
      <c r="E16" s="9"/>
      <c r="F16" s="9"/>
      <c r="G16" s="9"/>
      <c r="H16" s="9"/>
      <c r="I16" s="9"/>
      <c r="J16" s="9"/>
      <c r="K16" s="9"/>
      <c r="L16" s="9"/>
      <c r="R16" t="s">
        <v>132</v>
      </c>
      <c r="S16" s="110">
        <f t="shared" ref="S16:S18" si="2">T8/S8</f>
        <v>0</v>
      </c>
    </row>
    <row r="17" spans="1:19" x14ac:dyDescent="0.25">
      <c r="A17" s="9"/>
      <c r="B17" s="9"/>
      <c r="C17" s="9"/>
      <c r="D17" s="9"/>
      <c r="E17" s="9"/>
      <c r="F17" s="9"/>
      <c r="G17" s="9"/>
      <c r="H17" s="9"/>
      <c r="I17" s="9"/>
      <c r="J17" s="9"/>
      <c r="K17" s="9"/>
      <c r="L17" s="9"/>
      <c r="R17" t="s">
        <v>2317</v>
      </c>
      <c r="S17" s="110">
        <f t="shared" si="2"/>
        <v>0</v>
      </c>
    </row>
    <row r="18" spans="1:19" x14ac:dyDescent="0.25">
      <c r="A18" s="9"/>
      <c r="B18" s="9"/>
      <c r="C18" s="9"/>
      <c r="D18" s="9"/>
      <c r="E18" s="9"/>
      <c r="F18" s="9"/>
      <c r="G18" s="9"/>
      <c r="H18" s="9"/>
      <c r="I18" s="9"/>
      <c r="J18" s="9"/>
      <c r="K18" s="9"/>
      <c r="L18" s="9"/>
      <c r="R18" t="s">
        <v>198</v>
      </c>
      <c r="S18" s="110">
        <f t="shared" si="2"/>
        <v>0</v>
      </c>
    </row>
    <row r="19" spans="1:19" x14ac:dyDescent="0.25">
      <c r="A19" s="9"/>
      <c r="B19" s="1076"/>
      <c r="C19" s="1076"/>
      <c r="D19" s="1618" t="s">
        <v>1787</v>
      </c>
      <c r="E19" s="1618"/>
      <c r="F19" s="1618"/>
      <c r="G19" s="1618"/>
      <c r="H19" s="1618"/>
      <c r="I19" s="1618"/>
      <c r="J19" s="9"/>
      <c r="K19" s="9"/>
      <c r="L19" s="9"/>
      <c r="R19" t="s">
        <v>2318</v>
      </c>
      <c r="S19">
        <f t="shared" ref="S19" si="3">T11/S11</f>
        <v>0</v>
      </c>
    </row>
    <row r="20" spans="1:19" x14ac:dyDescent="0.25">
      <c r="A20" s="9"/>
      <c r="B20" s="9"/>
      <c r="C20" s="9"/>
      <c r="D20" s="9"/>
      <c r="E20" s="9"/>
      <c r="F20" s="9"/>
      <c r="G20" s="9"/>
      <c r="H20" s="9"/>
      <c r="I20" s="9"/>
      <c r="J20" s="9"/>
      <c r="K20" s="9"/>
      <c r="L20" s="9"/>
    </row>
    <row r="21" spans="1:19" x14ac:dyDescent="0.25">
      <c r="A21" s="9"/>
      <c r="B21" s="9"/>
      <c r="C21" s="9"/>
      <c r="D21" s="9"/>
      <c r="E21" s="9"/>
      <c r="F21" s="9"/>
      <c r="G21" s="9"/>
      <c r="H21" s="9"/>
      <c r="I21" s="9"/>
      <c r="J21" s="9"/>
      <c r="K21" s="9"/>
      <c r="L21" s="9"/>
    </row>
    <row r="22" spans="1:19" x14ac:dyDescent="0.25">
      <c r="A22" s="9"/>
      <c r="B22" s="1614" t="s">
        <v>1788</v>
      </c>
      <c r="C22" s="1615"/>
      <c r="D22" s="1615"/>
      <c r="E22" s="1615"/>
      <c r="F22" s="1615"/>
      <c r="G22" s="1616"/>
      <c r="H22" s="1611" t="s">
        <v>53</v>
      </c>
      <c r="I22" s="1612"/>
      <c r="J22" s="1613"/>
      <c r="K22" s="9"/>
      <c r="L22" s="9"/>
    </row>
    <row r="23" spans="1:19" x14ac:dyDescent="0.25">
      <c r="A23" s="9"/>
      <c r="B23" s="9"/>
      <c r="C23" s="9"/>
      <c r="D23" s="9"/>
      <c r="E23" s="9"/>
      <c r="F23" s="9"/>
      <c r="G23" s="9"/>
      <c r="H23" s="9"/>
      <c r="I23" s="9"/>
      <c r="J23" s="9"/>
      <c r="K23" s="9"/>
      <c r="L23" s="9"/>
    </row>
    <row r="24" spans="1:19" x14ac:dyDescent="0.25">
      <c r="A24" s="9"/>
      <c r="B24" s="9"/>
      <c r="C24" s="9"/>
      <c r="D24" s="9"/>
      <c r="E24" s="9"/>
      <c r="F24" s="9"/>
      <c r="G24" s="9"/>
      <c r="H24" s="9"/>
      <c r="I24" s="9"/>
      <c r="J24" s="9"/>
      <c r="K24" s="9"/>
      <c r="L24" s="9"/>
    </row>
    <row r="25" spans="1:19" x14ac:dyDescent="0.25">
      <c r="A25" s="9"/>
      <c r="B25" s="9"/>
      <c r="C25" s="9"/>
      <c r="D25" s="9"/>
      <c r="E25" s="9"/>
      <c r="F25" s="9"/>
      <c r="G25" s="9"/>
      <c r="H25" s="9"/>
      <c r="I25" s="9"/>
      <c r="J25" s="9"/>
      <c r="K25" s="9"/>
      <c r="L25" s="9"/>
    </row>
    <row r="26" spans="1:19" x14ac:dyDescent="0.25">
      <c r="A26" s="9"/>
      <c r="B26" s="9"/>
      <c r="C26" s="9"/>
      <c r="D26" s="9"/>
      <c r="E26" s="9"/>
      <c r="F26" s="9"/>
      <c r="G26" s="9"/>
      <c r="H26" s="9"/>
      <c r="I26" s="9"/>
      <c r="J26" s="9"/>
      <c r="K26" s="9"/>
      <c r="L26" s="9"/>
    </row>
    <row r="27" spans="1:19" x14ac:dyDescent="0.25">
      <c r="A27" s="9"/>
      <c r="B27" s="9"/>
      <c r="C27" s="9"/>
      <c r="D27" s="9"/>
      <c r="E27" s="9"/>
      <c r="F27" s="9"/>
      <c r="G27" s="9"/>
      <c r="H27" s="9"/>
      <c r="I27" s="9"/>
      <c r="J27" s="9"/>
      <c r="K27" s="9"/>
      <c r="L27" s="9"/>
    </row>
    <row r="28" spans="1:19" x14ac:dyDescent="0.25">
      <c r="A28" s="9"/>
      <c r="B28" s="9"/>
      <c r="C28" s="9"/>
      <c r="D28" s="9"/>
      <c r="E28" s="9"/>
      <c r="F28" s="9"/>
      <c r="G28" s="9"/>
      <c r="H28" s="9"/>
      <c r="I28" s="9"/>
      <c r="J28" s="9"/>
      <c r="K28" s="9"/>
      <c r="L28" s="9"/>
    </row>
    <row r="29" spans="1:19" x14ac:dyDescent="0.25">
      <c r="A29" s="9"/>
      <c r="B29" s="9"/>
      <c r="C29" s="9"/>
      <c r="D29" s="9"/>
      <c r="E29" s="9"/>
      <c r="F29" s="9"/>
      <c r="G29" s="9"/>
      <c r="H29" s="9"/>
      <c r="I29" s="9"/>
      <c r="J29" s="9"/>
      <c r="K29" s="9"/>
      <c r="L29" s="9"/>
    </row>
    <row r="30" spans="1:19" x14ac:dyDescent="0.25">
      <c r="A30" s="9"/>
      <c r="B30" s="9"/>
      <c r="C30" s="9"/>
      <c r="D30" s="9"/>
      <c r="E30" s="9"/>
      <c r="F30" s="9"/>
      <c r="G30" s="9"/>
      <c r="H30" s="9"/>
      <c r="I30" s="9"/>
      <c r="J30" s="9"/>
      <c r="K30" s="9"/>
      <c r="L30" s="9"/>
    </row>
    <row r="31" spans="1:19" x14ac:dyDescent="0.25">
      <c r="A31" s="9"/>
      <c r="B31" s="9"/>
      <c r="C31" s="9"/>
      <c r="D31" s="9"/>
      <c r="E31" s="9"/>
      <c r="F31" s="9"/>
      <c r="G31" s="9"/>
      <c r="H31" s="9"/>
      <c r="I31" s="9"/>
      <c r="J31" s="9"/>
      <c r="K31" s="9"/>
      <c r="L31" s="9"/>
    </row>
    <row r="32" spans="1:19" x14ac:dyDescent="0.25">
      <c r="A32" s="9"/>
      <c r="B32" s="9"/>
      <c r="C32" s="9"/>
      <c r="D32" s="9"/>
      <c r="E32" s="9"/>
      <c r="F32" s="9"/>
      <c r="G32" s="9"/>
      <c r="H32" s="9"/>
      <c r="I32" s="9"/>
      <c r="J32" s="9"/>
      <c r="K32" s="9"/>
      <c r="L32" s="9"/>
    </row>
    <row r="33" spans="1:12" x14ac:dyDescent="0.25">
      <c r="A33" s="9"/>
      <c r="B33" s="9"/>
      <c r="C33" s="9"/>
      <c r="D33" s="9"/>
      <c r="E33" s="9"/>
      <c r="F33" s="9"/>
      <c r="G33" s="9"/>
      <c r="H33" s="9"/>
      <c r="I33" s="9"/>
      <c r="J33" s="9"/>
      <c r="K33" s="9"/>
      <c r="L33" s="9"/>
    </row>
    <row r="34" spans="1:12" x14ac:dyDescent="0.25">
      <c r="A34" s="9"/>
      <c r="B34" s="9"/>
      <c r="C34" s="9"/>
      <c r="D34" s="9"/>
      <c r="E34" s="9"/>
      <c r="F34" s="9"/>
      <c r="G34" s="9"/>
      <c r="H34" s="9"/>
      <c r="I34" s="9"/>
      <c r="J34" s="9"/>
      <c r="K34" s="9"/>
      <c r="L34" s="9"/>
    </row>
    <row r="35" spans="1:12" x14ac:dyDescent="0.25">
      <c r="A35" s="9"/>
      <c r="B35" s="9"/>
      <c r="C35" s="9"/>
      <c r="D35" s="9"/>
      <c r="E35" s="9"/>
      <c r="F35" s="9"/>
      <c r="G35" s="9"/>
      <c r="H35" s="9"/>
      <c r="I35" s="9"/>
      <c r="J35" s="9"/>
      <c r="K35" s="9"/>
      <c r="L35" s="9"/>
    </row>
    <row r="36" spans="1:12" x14ac:dyDescent="0.25">
      <c r="A36" s="9"/>
      <c r="B36" s="9"/>
      <c r="C36" s="9"/>
      <c r="D36" s="9"/>
      <c r="E36" s="9"/>
      <c r="F36" s="9"/>
      <c r="G36" s="9"/>
      <c r="H36" s="9"/>
      <c r="I36" s="9"/>
      <c r="J36" s="9"/>
      <c r="K36" s="9"/>
      <c r="L36" s="9"/>
    </row>
    <row r="37" spans="1:12" x14ac:dyDescent="0.25">
      <c r="A37" s="9"/>
      <c r="B37" s="9"/>
      <c r="C37" s="9"/>
      <c r="D37" s="9"/>
      <c r="E37" s="9"/>
      <c r="F37" s="9"/>
      <c r="G37" s="9"/>
      <c r="H37" s="9"/>
      <c r="I37" s="9"/>
      <c r="J37" s="9"/>
      <c r="K37" s="9"/>
      <c r="L37" s="9"/>
    </row>
    <row r="38" spans="1:12" x14ac:dyDescent="0.25">
      <c r="A38" s="9"/>
      <c r="B38" s="9"/>
      <c r="C38" s="9"/>
      <c r="D38" s="9"/>
      <c r="E38" s="9"/>
      <c r="F38" s="9"/>
      <c r="G38" s="9"/>
      <c r="H38" s="9"/>
      <c r="I38" s="9"/>
      <c r="J38" s="9"/>
      <c r="K38" s="9"/>
      <c r="L38" s="9"/>
    </row>
    <row r="39" spans="1:12" x14ac:dyDescent="0.25">
      <c r="A39" s="9"/>
      <c r="B39" s="9"/>
      <c r="C39" s="9"/>
      <c r="D39" s="9"/>
      <c r="E39" s="9"/>
      <c r="F39" s="9"/>
      <c r="G39" s="9"/>
      <c r="H39" s="9"/>
      <c r="I39" s="9"/>
      <c r="J39" s="9"/>
      <c r="K39" s="9"/>
      <c r="L39" s="9"/>
    </row>
    <row r="40" spans="1:12" hidden="1" x14ac:dyDescent="0.25">
      <c r="A40" s="9"/>
      <c r="B40" s="9"/>
      <c r="C40" s="9"/>
      <c r="D40" s="9"/>
      <c r="E40" s="9"/>
      <c r="F40" s="9"/>
      <c r="G40" s="9"/>
      <c r="H40" s="9"/>
      <c r="I40" s="9"/>
      <c r="J40" s="9"/>
      <c r="K40" s="9"/>
      <c r="L40" s="9"/>
    </row>
    <row r="41" spans="1:12" hidden="1" x14ac:dyDescent="0.25">
      <c r="A41" s="9"/>
      <c r="B41" s="9"/>
      <c r="C41" s="9"/>
      <c r="D41" s="9"/>
      <c r="E41" s="9"/>
      <c r="F41" s="9"/>
      <c r="G41" s="9"/>
      <c r="H41" s="9"/>
      <c r="I41" s="9"/>
      <c r="J41" s="9"/>
      <c r="K41" s="9"/>
      <c r="L41" s="9"/>
    </row>
    <row r="42" spans="1:12" hidden="1" x14ac:dyDescent="0.25">
      <c r="A42" s="9"/>
      <c r="B42" s="9"/>
      <c r="C42" s="9"/>
      <c r="D42" s="9"/>
      <c r="E42" s="9"/>
      <c r="F42" s="9"/>
      <c r="G42" s="9"/>
      <c r="H42" s="9"/>
      <c r="I42" s="9"/>
      <c r="J42" s="9"/>
      <c r="K42" s="9"/>
      <c r="L42" s="9"/>
    </row>
    <row r="43" spans="1:12" hidden="1" x14ac:dyDescent="0.25">
      <c r="A43" s="9"/>
      <c r="B43" s="9"/>
      <c r="C43" s="9"/>
      <c r="D43" s="9"/>
      <c r="E43" s="9"/>
      <c r="F43" s="9"/>
      <c r="G43" s="9"/>
      <c r="H43" s="9"/>
      <c r="I43" s="9"/>
      <c r="J43" s="9"/>
      <c r="K43" s="9"/>
      <c r="L43" s="9"/>
    </row>
    <row r="44" spans="1:12" hidden="1" x14ac:dyDescent="0.25">
      <c r="A44" s="9"/>
      <c r="B44" s="9"/>
      <c r="C44" s="9"/>
      <c r="D44" s="9"/>
      <c r="E44" s="9"/>
      <c r="F44" s="9"/>
      <c r="G44" s="9"/>
      <c r="H44" s="9"/>
      <c r="I44" s="9"/>
      <c r="J44" s="9"/>
      <c r="K44" s="9"/>
      <c r="L44" s="9"/>
    </row>
    <row r="45" spans="1:12" hidden="1" x14ac:dyDescent="0.25">
      <c r="A45" s="9"/>
      <c r="B45" s="9"/>
      <c r="C45" s="9"/>
      <c r="D45" s="9"/>
      <c r="E45" s="9"/>
      <c r="F45" s="9"/>
      <c r="G45" s="9"/>
      <c r="H45" s="9"/>
      <c r="I45" s="9"/>
      <c r="J45" s="9"/>
      <c r="K45" s="9"/>
      <c r="L45" s="9"/>
    </row>
    <row r="46" spans="1:12" hidden="1" x14ac:dyDescent="0.25">
      <c r="A46" s="9"/>
      <c r="B46" s="9"/>
      <c r="C46" s="9"/>
      <c r="D46" s="9"/>
      <c r="E46" s="9"/>
      <c r="F46" s="9"/>
      <c r="G46" s="9"/>
      <c r="H46" s="9"/>
      <c r="I46" s="9"/>
      <c r="J46" s="9"/>
      <c r="K46" s="9"/>
      <c r="L46" s="9"/>
    </row>
    <row r="47" spans="1:12" hidden="1" x14ac:dyDescent="0.25">
      <c r="A47" s="9"/>
      <c r="B47" s="9"/>
      <c r="C47" s="9"/>
      <c r="D47" s="9"/>
      <c r="E47" s="9"/>
      <c r="F47" s="9"/>
      <c r="G47" s="9"/>
      <c r="H47" s="9"/>
      <c r="I47" s="9"/>
      <c r="J47" s="9"/>
      <c r="K47" s="9"/>
      <c r="L47" s="9"/>
    </row>
    <row r="48" spans="1:12" hidden="1" x14ac:dyDescent="0.25">
      <c r="A48" s="9"/>
      <c r="B48" s="9"/>
      <c r="C48" s="9"/>
      <c r="D48" s="9"/>
      <c r="E48" s="9"/>
      <c r="F48" s="9"/>
      <c r="G48" s="9"/>
      <c r="H48" s="9"/>
      <c r="I48" s="9"/>
      <c r="J48" s="9"/>
      <c r="K48" s="9"/>
      <c r="L48" s="9"/>
    </row>
    <row r="49" spans="1:12" hidden="1" x14ac:dyDescent="0.25">
      <c r="A49" s="9"/>
      <c r="B49" s="9"/>
      <c r="C49" s="9"/>
      <c r="D49" s="9"/>
      <c r="E49" s="9"/>
      <c r="F49" s="9"/>
      <c r="G49" s="9"/>
      <c r="H49" s="9"/>
      <c r="I49" s="9"/>
      <c r="J49" s="9"/>
      <c r="K49" s="9"/>
      <c r="L49" s="9"/>
    </row>
    <row r="50" spans="1:12" hidden="1" x14ac:dyDescent="0.25">
      <c r="A50" s="9"/>
      <c r="B50" s="9"/>
      <c r="C50" s="9"/>
      <c r="D50" s="9"/>
      <c r="E50" s="9"/>
      <c r="F50" s="9"/>
      <c r="G50" s="9"/>
      <c r="H50" s="9"/>
      <c r="I50" s="9"/>
      <c r="J50" s="9"/>
      <c r="K50" s="9"/>
      <c r="L50" s="9"/>
    </row>
    <row r="51" spans="1:12" hidden="1" x14ac:dyDescent="0.25">
      <c r="A51" s="9"/>
      <c r="B51" s="9"/>
      <c r="C51" s="9"/>
      <c r="D51" s="9"/>
      <c r="E51" s="9"/>
      <c r="F51" s="9"/>
      <c r="G51" s="9"/>
      <c r="H51" s="9"/>
      <c r="I51" s="9"/>
      <c r="J51" s="9"/>
      <c r="K51" s="9"/>
      <c r="L51" s="9"/>
    </row>
    <row r="52" spans="1:12" hidden="1" x14ac:dyDescent="0.25">
      <c r="A52" s="9"/>
      <c r="B52" s="9"/>
      <c r="C52" s="9"/>
      <c r="D52" s="9"/>
      <c r="E52" s="9"/>
      <c r="F52" s="9"/>
      <c r="G52" s="9"/>
      <c r="H52" s="9"/>
      <c r="I52" s="9"/>
      <c r="J52" s="9"/>
      <c r="K52" s="9"/>
      <c r="L52" s="9"/>
    </row>
    <row r="53" spans="1:12" hidden="1" x14ac:dyDescent="0.25">
      <c r="A53" s="9"/>
      <c r="B53" s="9"/>
      <c r="C53" s="9"/>
      <c r="D53" s="9"/>
      <c r="E53" s="9"/>
      <c r="F53" s="9"/>
      <c r="G53" s="9"/>
      <c r="H53" s="9"/>
      <c r="I53" s="9"/>
      <c r="J53" s="9"/>
      <c r="K53" s="9"/>
      <c r="L53" s="9"/>
    </row>
    <row r="54" spans="1:12" hidden="1" x14ac:dyDescent="0.25">
      <c r="A54" s="9"/>
      <c r="B54" s="9"/>
      <c r="C54" s="9"/>
      <c r="D54" s="9"/>
      <c r="E54" s="9"/>
      <c r="F54" s="9"/>
      <c r="G54" s="9"/>
      <c r="H54" s="9"/>
      <c r="I54" s="9"/>
      <c r="J54" s="9"/>
      <c r="K54" s="9"/>
      <c r="L54" s="9"/>
    </row>
    <row r="55" spans="1:12" hidden="1" x14ac:dyDescent="0.25">
      <c r="A55" s="9"/>
      <c r="B55" s="9"/>
      <c r="C55" s="9"/>
      <c r="D55" s="9"/>
      <c r="E55" s="9"/>
      <c r="F55" s="9"/>
      <c r="G55" s="9"/>
      <c r="H55" s="9"/>
      <c r="I55" s="9"/>
      <c r="J55" s="9"/>
      <c r="K55" s="9"/>
      <c r="L55" s="9"/>
    </row>
    <row r="56" spans="1:12" hidden="1" x14ac:dyDescent="0.25">
      <c r="A56" s="9"/>
      <c r="B56" s="9"/>
      <c r="C56" s="9"/>
      <c r="D56" s="9"/>
      <c r="E56" s="9"/>
      <c r="F56" s="9"/>
      <c r="G56" s="9"/>
      <c r="H56" s="9"/>
      <c r="I56" s="9"/>
      <c r="J56" s="9"/>
      <c r="K56" s="9"/>
      <c r="L56" s="9"/>
    </row>
    <row r="57" spans="1:12" hidden="1" x14ac:dyDescent="0.25">
      <c r="A57" s="9"/>
      <c r="B57" s="9"/>
      <c r="C57" s="9"/>
      <c r="D57" s="9"/>
      <c r="E57" s="9"/>
      <c r="F57" s="9"/>
      <c r="G57" s="9"/>
      <c r="H57" s="9"/>
      <c r="I57" s="9"/>
      <c r="J57" s="9"/>
      <c r="K57" s="9"/>
      <c r="L57" s="9"/>
    </row>
    <row r="58" spans="1:12" hidden="1" x14ac:dyDescent="0.25">
      <c r="A58" s="9"/>
      <c r="B58" s="9"/>
      <c r="C58" s="9"/>
      <c r="D58" s="9"/>
      <c r="E58" s="9"/>
      <c r="F58" s="9"/>
      <c r="G58" s="9"/>
      <c r="H58" s="9"/>
      <c r="I58" s="9"/>
      <c r="J58" s="9"/>
      <c r="K58" s="9"/>
      <c r="L58" s="9"/>
    </row>
    <row r="59" spans="1:12" hidden="1" x14ac:dyDescent="0.25">
      <c r="A59" s="9"/>
      <c r="B59" s="9"/>
      <c r="C59" s="9"/>
      <c r="D59" s="9"/>
      <c r="E59" s="9"/>
      <c r="F59" s="9"/>
      <c r="G59" s="9"/>
      <c r="H59" s="9"/>
      <c r="I59" s="9"/>
      <c r="J59" s="9"/>
      <c r="K59" s="9"/>
      <c r="L59" s="9"/>
    </row>
    <row r="60" spans="1:12" hidden="1" x14ac:dyDescent="0.25">
      <c r="A60" s="9"/>
      <c r="B60" s="9"/>
      <c r="C60" s="9"/>
      <c r="D60" s="9"/>
      <c r="E60" s="9"/>
      <c r="F60" s="9"/>
      <c r="G60" s="9"/>
      <c r="H60" s="9"/>
      <c r="I60" s="9"/>
      <c r="J60" s="9"/>
      <c r="K60" s="9"/>
      <c r="L60" s="9"/>
    </row>
    <row r="61" spans="1:12" hidden="1" x14ac:dyDescent="0.25">
      <c r="A61" s="9"/>
      <c r="B61" s="9"/>
      <c r="C61" s="9"/>
      <c r="D61" s="9"/>
      <c r="E61" s="9"/>
      <c r="F61" s="9"/>
      <c r="G61" s="9"/>
      <c r="H61" s="9"/>
      <c r="I61" s="9"/>
      <c r="J61" s="9"/>
      <c r="K61" s="9"/>
      <c r="L61" s="9"/>
    </row>
    <row r="62" spans="1:12" hidden="1" x14ac:dyDescent="0.25">
      <c r="A62" s="9"/>
      <c r="B62" s="9"/>
      <c r="C62" s="9"/>
      <c r="D62" s="9"/>
      <c r="E62" s="9"/>
      <c r="F62" s="9"/>
      <c r="G62" s="9"/>
      <c r="H62" s="9"/>
      <c r="I62" s="9"/>
      <c r="J62" s="9"/>
      <c r="K62" s="9"/>
      <c r="L62" s="9"/>
    </row>
    <row r="63" spans="1:12" hidden="1" x14ac:dyDescent="0.25">
      <c r="A63" s="9"/>
      <c r="B63" s="9"/>
      <c r="C63" s="9"/>
      <c r="D63" s="9"/>
      <c r="E63" s="9"/>
      <c r="F63" s="9"/>
      <c r="G63" s="9"/>
      <c r="H63" s="9"/>
      <c r="I63" s="9"/>
      <c r="J63" s="9"/>
      <c r="K63" s="9"/>
      <c r="L63" s="9"/>
    </row>
    <row r="64" spans="1:12" hidden="1" x14ac:dyDescent="0.25">
      <c r="A64" s="9"/>
      <c r="B64" s="9"/>
      <c r="C64" s="9"/>
      <c r="D64" s="9"/>
      <c r="E64" s="9"/>
      <c r="F64" s="9"/>
      <c r="G64" s="9"/>
      <c r="H64" s="9"/>
      <c r="I64" s="9"/>
      <c r="J64" s="9"/>
      <c r="K64" s="9"/>
      <c r="L64" s="9"/>
    </row>
    <row r="65" spans="1:12" hidden="1" x14ac:dyDescent="0.25">
      <c r="A65" s="9"/>
      <c r="B65" s="9"/>
      <c r="C65" s="9"/>
      <c r="D65" s="9"/>
      <c r="E65" s="9"/>
      <c r="F65" s="9"/>
      <c r="G65" s="9"/>
      <c r="H65" s="9"/>
      <c r="I65" s="9"/>
      <c r="J65" s="9"/>
      <c r="K65" s="9"/>
      <c r="L65" s="9"/>
    </row>
    <row r="66" spans="1:12" hidden="1" x14ac:dyDescent="0.25">
      <c r="A66" s="9"/>
      <c r="B66" s="9"/>
      <c r="C66" s="9"/>
      <c r="D66" s="9"/>
      <c r="E66" s="9"/>
      <c r="F66" s="9"/>
      <c r="G66" s="9"/>
      <c r="H66" s="9"/>
      <c r="I66" s="9"/>
      <c r="J66" s="9"/>
      <c r="K66" s="9"/>
      <c r="L66" s="9"/>
    </row>
    <row r="67" spans="1:12" hidden="1" x14ac:dyDescent="0.25">
      <c r="A67" s="9"/>
      <c r="B67" s="9"/>
      <c r="C67" s="9"/>
      <c r="D67" s="9"/>
      <c r="E67" s="9"/>
      <c r="F67" s="9"/>
      <c r="G67" s="9"/>
      <c r="H67" s="9"/>
      <c r="I67" s="9"/>
      <c r="J67" s="9"/>
      <c r="K67" s="9"/>
      <c r="L67" s="9"/>
    </row>
    <row r="68" spans="1:12" hidden="1" x14ac:dyDescent="0.25">
      <c r="A68" s="9"/>
      <c r="B68" s="9"/>
      <c r="C68" s="9"/>
      <c r="D68" s="9"/>
      <c r="E68" s="9"/>
      <c r="F68" s="9"/>
      <c r="G68" s="9"/>
      <c r="H68" s="9"/>
      <c r="I68" s="9"/>
      <c r="J68" s="9"/>
      <c r="K68" s="9"/>
      <c r="L68" s="9"/>
    </row>
    <row r="69" spans="1:12" hidden="1" x14ac:dyDescent="0.25">
      <c r="A69" s="9"/>
      <c r="B69" s="9"/>
      <c r="C69" s="9"/>
      <c r="D69" s="9"/>
      <c r="E69" s="9"/>
      <c r="F69" s="9"/>
      <c r="G69" s="9"/>
      <c r="H69" s="9"/>
      <c r="I69" s="9"/>
      <c r="J69" s="9"/>
      <c r="K69" s="9"/>
      <c r="L69" s="9"/>
    </row>
    <row r="70" spans="1:12" hidden="1" x14ac:dyDescent="0.25">
      <c r="A70" s="9"/>
      <c r="B70" s="9"/>
      <c r="C70" s="9"/>
      <c r="D70" s="9"/>
      <c r="E70" s="9"/>
      <c r="F70" s="9"/>
      <c r="G70" s="9"/>
      <c r="H70" s="9"/>
      <c r="I70" s="9"/>
      <c r="J70" s="9"/>
      <c r="K70" s="9"/>
      <c r="L70" s="9"/>
    </row>
    <row r="71" spans="1:12" hidden="1" x14ac:dyDescent="0.25">
      <c r="A71" s="9"/>
      <c r="B71" s="9"/>
      <c r="C71" s="9"/>
      <c r="D71" s="9"/>
      <c r="E71" s="9"/>
      <c r="F71" s="9"/>
      <c r="G71" s="9"/>
      <c r="H71" s="9"/>
      <c r="I71" s="9"/>
      <c r="J71" s="9"/>
      <c r="K71" s="9"/>
      <c r="L71" s="9"/>
    </row>
    <row r="72" spans="1:12" hidden="1" x14ac:dyDescent="0.25">
      <c r="A72" s="9"/>
      <c r="B72" s="9"/>
      <c r="C72" s="9"/>
      <c r="D72" s="9"/>
      <c r="E72" s="9"/>
      <c r="F72" s="9"/>
      <c r="G72" s="9"/>
      <c r="H72" s="9"/>
      <c r="I72" s="9"/>
      <c r="J72" s="9"/>
      <c r="K72" s="9"/>
      <c r="L72" s="9"/>
    </row>
    <row r="73" spans="1:12" hidden="1" x14ac:dyDescent="0.25">
      <c r="A73" s="9"/>
      <c r="B73" s="9"/>
      <c r="C73" s="9"/>
      <c r="D73" s="9"/>
      <c r="E73" s="9"/>
      <c r="F73" s="9"/>
      <c r="G73" s="9"/>
      <c r="H73" s="9"/>
      <c r="I73" s="9"/>
      <c r="J73" s="9"/>
      <c r="K73" s="9"/>
      <c r="L73" s="9"/>
    </row>
    <row r="74" spans="1:12" hidden="1" x14ac:dyDescent="0.25">
      <c r="A74" s="9"/>
      <c r="B74" s="9"/>
      <c r="C74" s="9"/>
      <c r="D74" s="9"/>
      <c r="E74" s="9"/>
      <c r="F74" s="9"/>
      <c r="G74" s="9"/>
      <c r="H74" s="9"/>
      <c r="I74" s="9"/>
      <c r="J74" s="9"/>
      <c r="K74" s="9"/>
      <c r="L74" s="9"/>
    </row>
    <row r="75" spans="1:12" hidden="1" x14ac:dyDescent="0.25">
      <c r="A75" s="9"/>
      <c r="B75" s="9"/>
      <c r="C75" s="9"/>
      <c r="D75" s="9"/>
      <c r="E75" s="9"/>
      <c r="F75" s="9"/>
      <c r="G75" s="9"/>
      <c r="H75" s="9"/>
      <c r="I75" s="9"/>
      <c r="J75" s="9"/>
      <c r="K75" s="9"/>
      <c r="L75" s="9"/>
    </row>
    <row r="76" spans="1:12" hidden="1" x14ac:dyDescent="0.25">
      <c r="A76" s="9"/>
      <c r="B76" s="9"/>
      <c r="C76" s="9"/>
      <c r="D76" s="9"/>
      <c r="E76" s="9"/>
      <c r="F76" s="9"/>
      <c r="G76" s="9"/>
      <c r="H76" s="9"/>
      <c r="I76" s="9"/>
      <c r="J76" s="9"/>
      <c r="K76" s="9"/>
      <c r="L76" s="9"/>
    </row>
    <row r="77" spans="1:12" hidden="1" x14ac:dyDescent="0.25">
      <c r="A77" s="9"/>
      <c r="B77" s="9"/>
      <c r="C77" s="9"/>
      <c r="D77" s="9"/>
      <c r="E77" s="9"/>
      <c r="F77" s="9"/>
      <c r="G77" s="9"/>
      <c r="H77" s="9"/>
      <c r="I77" s="9"/>
      <c r="J77" s="9"/>
      <c r="K77" s="9"/>
      <c r="L77" s="9"/>
    </row>
    <row r="78" spans="1:12" hidden="1" x14ac:dyDescent="0.25"/>
    <row r="79" spans="1:12" hidden="1" x14ac:dyDescent="0.25"/>
    <row r="80" spans="1:12" hidden="1" x14ac:dyDescent="0.25"/>
    <row r="81" hidden="1" x14ac:dyDescent="0.25"/>
  </sheetData>
  <sheetProtection algorithmName="SHA-512" hashValue="+Bmtsee8NXmuzhdXit1lg3TnsByR96+SSNq4l0wRIB9FSvby+/oTkWJ52FVNSW4vEbaZdf0Y+gppAbtomJnkrw==" saltValue="wBgrapl9SvDWZ6y2isJklA==" spinCount="100000" sheet="1" objects="1" scenarios="1" formatRows="0"/>
  <mergeCells count="5">
    <mergeCell ref="H22:J22"/>
    <mergeCell ref="B22:G22"/>
    <mergeCell ref="A1:L1"/>
    <mergeCell ref="A2:L2"/>
    <mergeCell ref="D19:I19"/>
  </mergeCells>
  <dataValidations count="1">
    <dataValidation type="list" allowBlank="1" showInputMessage="1" showErrorMessage="1" sqref="H22:J22" xr:uid="{00000000-0002-0000-0D00-000000000000}">
      <formula1>"Select,Include BPC, Exclude BPC"</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58AB27"/>
  </sheetPr>
  <dimension ref="A1:Q57"/>
  <sheetViews>
    <sheetView showRowColHeaders="0" zoomScale="90" zoomScaleNormal="90" workbookViewId="0">
      <selection activeCell="K2" sqref="K2"/>
    </sheetView>
  </sheetViews>
  <sheetFormatPr defaultColWidth="0" defaultRowHeight="0" customHeight="1" zeroHeight="1" x14ac:dyDescent="0.25"/>
  <cols>
    <col min="1" max="1" width="4.7109375" customWidth="1"/>
    <col min="2" max="2" width="33.42578125" customWidth="1"/>
    <col min="3" max="3" width="4.7109375" customWidth="1"/>
    <col min="4" max="4" width="10.7109375" customWidth="1"/>
    <col min="5" max="6" width="20.5703125" customWidth="1"/>
    <col min="7" max="8" width="19.7109375" customWidth="1"/>
    <col min="9" max="9" width="10.28515625" customWidth="1"/>
    <col min="10" max="10" width="8" customWidth="1"/>
    <col min="11" max="11" width="4.85546875" customWidth="1"/>
    <col min="12" max="12" width="4" customWidth="1"/>
    <col min="13" max="17" width="0" hidden="1" customWidth="1"/>
    <col min="18" max="16384" width="9.140625" hidden="1"/>
  </cols>
  <sheetData>
    <row r="1" spans="1:12" ht="33.75" customHeight="1" x14ac:dyDescent="0.25">
      <c r="A1" s="190"/>
      <c r="B1" s="1624" t="s">
        <v>17</v>
      </c>
      <c r="C1" s="191"/>
      <c r="D1" s="178"/>
      <c r="E1" s="179"/>
      <c r="F1" s="179"/>
      <c r="G1" s="179"/>
      <c r="H1" s="179"/>
      <c r="I1" s="179"/>
      <c r="J1" s="179"/>
      <c r="K1" s="179"/>
      <c r="L1" s="180"/>
    </row>
    <row r="2" spans="1:12" ht="28.5" customHeight="1" x14ac:dyDescent="0.25">
      <c r="A2" s="192"/>
      <c r="B2" s="1625"/>
      <c r="C2" s="193"/>
      <c r="D2" s="181"/>
      <c r="E2" s="182"/>
      <c r="F2" s="182"/>
      <c r="G2" s="182"/>
      <c r="H2" s="182"/>
      <c r="I2" s="182"/>
      <c r="J2" s="182"/>
      <c r="K2" s="182"/>
      <c r="L2" s="183"/>
    </row>
    <row r="3" spans="1:12" ht="20.25" customHeight="1" x14ac:dyDescent="0.25">
      <c r="A3" s="192"/>
      <c r="B3" s="1625"/>
      <c r="C3" s="193"/>
      <c r="D3" s="181"/>
      <c r="E3" s="182"/>
      <c r="F3" s="182"/>
      <c r="G3" s="182"/>
      <c r="H3" s="182"/>
      <c r="I3" s="182"/>
      <c r="J3" s="182"/>
      <c r="K3" s="182"/>
      <c r="L3" s="183"/>
    </row>
    <row r="4" spans="1:12" ht="15" customHeight="1" x14ac:dyDescent="0.25">
      <c r="A4" s="192"/>
      <c r="B4" s="1630" t="s">
        <v>1330</v>
      </c>
      <c r="C4" s="194"/>
      <c r="D4" s="181"/>
      <c r="E4" s="1626" t="s">
        <v>118</v>
      </c>
      <c r="F4" s="1627"/>
      <c r="G4" s="1619" t="s">
        <v>119</v>
      </c>
      <c r="H4" s="1619" t="s">
        <v>16</v>
      </c>
      <c r="I4" s="182"/>
      <c r="J4" s="182"/>
      <c r="K4" s="182"/>
      <c r="L4" s="183"/>
    </row>
    <row r="5" spans="1:12" ht="15" customHeight="1" x14ac:dyDescent="0.25">
      <c r="A5" s="192"/>
      <c r="B5" s="1630"/>
      <c r="C5" s="194"/>
      <c r="D5" s="181"/>
      <c r="E5" s="1628"/>
      <c r="F5" s="1629"/>
      <c r="G5" s="1619"/>
      <c r="H5" s="1619"/>
      <c r="I5" s="182"/>
      <c r="J5" s="182"/>
      <c r="K5" s="182"/>
      <c r="L5" s="183"/>
    </row>
    <row r="6" spans="1:12" ht="23.25" customHeight="1" x14ac:dyDescent="0.25">
      <c r="A6" s="195"/>
      <c r="B6" s="1630"/>
      <c r="C6" s="194"/>
      <c r="D6" s="181"/>
      <c r="E6" s="1620" t="s">
        <v>278</v>
      </c>
      <c r="F6" s="1621"/>
      <c r="G6" s="96">
        <v>6</v>
      </c>
      <c r="H6" s="96">
        <f>'E-1 Space cooling'!H24</f>
        <v>0</v>
      </c>
      <c r="I6" s="182"/>
      <c r="J6" s="182"/>
      <c r="K6" s="182"/>
      <c r="L6" s="183"/>
    </row>
    <row r="7" spans="1:12" ht="23.25" customHeight="1" x14ac:dyDescent="0.25">
      <c r="A7" s="195"/>
      <c r="B7" s="1630"/>
      <c r="C7" s="194"/>
      <c r="D7" s="181"/>
      <c r="E7" s="1620" t="s">
        <v>251</v>
      </c>
      <c r="F7" s="1621"/>
      <c r="G7" s="96">
        <v>5</v>
      </c>
      <c r="H7" s="96">
        <f>'E-2 Artificial Lighting'!G18</f>
        <v>0</v>
      </c>
      <c r="I7" s="182"/>
      <c r="J7" s="182"/>
      <c r="K7" s="182"/>
      <c r="L7" s="183"/>
    </row>
    <row r="8" spans="1:12" ht="23.25" customHeight="1" x14ac:dyDescent="0.25">
      <c r="A8" s="195"/>
      <c r="B8" s="1630"/>
      <c r="C8" s="194"/>
      <c r="D8" s="181"/>
      <c r="E8" s="1620" t="s">
        <v>252</v>
      </c>
      <c r="F8" s="1621"/>
      <c r="G8" s="96">
        <v>4</v>
      </c>
      <c r="H8" s="96">
        <f ca="1">'E-3 Energy Efficient Appliances'!G12</f>
        <v>0</v>
      </c>
      <c r="I8" s="182"/>
      <c r="J8" s="182"/>
      <c r="K8" s="182"/>
      <c r="L8" s="183"/>
    </row>
    <row r="9" spans="1:12" ht="23.25" customHeight="1" x14ac:dyDescent="0.25">
      <c r="A9" s="195"/>
      <c r="B9" s="1630"/>
      <c r="C9" s="194"/>
      <c r="D9" s="181"/>
      <c r="E9" s="1620" t="s">
        <v>1495</v>
      </c>
      <c r="F9" s="1621"/>
      <c r="G9" s="96">
        <v>1</v>
      </c>
      <c r="H9" s="96">
        <f>'E-4 Energy Monitor'!G12</f>
        <v>0</v>
      </c>
      <c r="I9" s="182"/>
      <c r="J9" s="182"/>
      <c r="K9" s="182"/>
      <c r="L9" s="183"/>
    </row>
    <row r="10" spans="1:12" ht="23.25" customHeight="1" x14ac:dyDescent="0.25">
      <c r="A10" s="195"/>
      <c r="B10" s="1630"/>
      <c r="C10" s="194"/>
      <c r="D10" s="181"/>
      <c r="E10" s="1620" t="s">
        <v>1536</v>
      </c>
      <c r="F10" s="1621"/>
      <c r="G10" s="96">
        <v>2</v>
      </c>
      <c r="H10" s="96">
        <f>'Energy BPC'!G13</f>
        <v>0</v>
      </c>
      <c r="I10" s="182"/>
      <c r="J10" s="182"/>
      <c r="K10" s="182"/>
      <c r="L10" s="183"/>
    </row>
    <row r="11" spans="1:12" ht="26.25" customHeight="1" x14ac:dyDescent="0.25">
      <c r="A11" s="195"/>
      <c r="B11" s="1018"/>
      <c r="C11" s="194"/>
      <c r="D11" s="181"/>
      <c r="E11" s="1622" t="s">
        <v>25</v>
      </c>
      <c r="F11" s="1623"/>
      <c r="G11" s="77">
        <f>SUM(G6:G10)</f>
        <v>18</v>
      </c>
      <c r="H11" s="77">
        <f ca="1">SUM(H6:H10)</f>
        <v>0</v>
      </c>
      <c r="I11" s="182"/>
      <c r="J11" s="182"/>
      <c r="K11" s="182"/>
      <c r="L11" s="183"/>
    </row>
    <row r="12" spans="1:12" ht="15" customHeight="1" x14ac:dyDescent="0.25">
      <c r="A12" s="195"/>
      <c r="B12" s="196"/>
      <c r="C12" s="194"/>
      <c r="D12" s="181"/>
      <c r="E12" s="182"/>
      <c r="F12" s="182"/>
      <c r="G12" s="182"/>
      <c r="H12" s="182"/>
      <c r="I12" s="182"/>
      <c r="J12" s="182"/>
      <c r="K12" s="182"/>
      <c r="L12" s="183"/>
    </row>
    <row r="13" spans="1:12" ht="15" customHeight="1" x14ac:dyDescent="0.25">
      <c r="A13" s="195"/>
      <c r="B13" s="196"/>
      <c r="C13" s="194"/>
      <c r="D13" s="181"/>
      <c r="E13" s="182"/>
      <c r="F13" s="182"/>
      <c r="G13" s="182"/>
      <c r="H13" s="182"/>
      <c r="I13" s="182"/>
      <c r="J13" s="182"/>
      <c r="K13" s="182"/>
      <c r="L13" s="183"/>
    </row>
    <row r="14" spans="1:12" ht="15" customHeight="1" x14ac:dyDescent="0.25">
      <c r="A14" s="197"/>
      <c r="B14" s="198"/>
      <c r="C14" s="199"/>
      <c r="D14" s="184"/>
      <c r="E14" s="184"/>
      <c r="F14" s="184"/>
      <c r="G14" s="184"/>
      <c r="H14" s="184"/>
      <c r="I14" s="184"/>
      <c r="J14" s="185"/>
      <c r="K14" s="185"/>
      <c r="L14" s="186"/>
    </row>
    <row r="15" spans="1:12" ht="15" hidden="1" customHeight="1" x14ac:dyDescent="0.25">
      <c r="A15" s="76"/>
      <c r="B15" s="189"/>
      <c r="C15" s="101"/>
      <c r="D15" s="1"/>
      <c r="E15" s="185"/>
      <c r="F15" s="185"/>
      <c r="G15" s="185"/>
      <c r="H15" s="185"/>
      <c r="I15" s="1"/>
      <c r="J15" s="1"/>
      <c r="K15" s="1"/>
      <c r="L15" s="1"/>
    </row>
    <row r="16" spans="1:12" ht="15" hidden="1" customHeight="1" x14ac:dyDescent="0.25">
      <c r="A16" s="76"/>
      <c r="B16" s="189"/>
      <c r="C16" s="101"/>
      <c r="D16" s="1"/>
      <c r="E16" s="1"/>
      <c r="F16" s="1"/>
      <c r="G16" s="1"/>
      <c r="H16" s="1"/>
      <c r="I16" s="1"/>
      <c r="J16" s="1"/>
      <c r="K16" s="1"/>
      <c r="L16" s="1"/>
    </row>
    <row r="17" spans="1:12" ht="15" hidden="1" customHeight="1" x14ac:dyDescent="0.25">
      <c r="A17" s="76"/>
      <c r="B17" s="189"/>
      <c r="C17" s="101"/>
      <c r="D17" s="1"/>
      <c r="E17" s="1"/>
      <c r="F17" s="1"/>
      <c r="G17" s="1"/>
      <c r="H17" s="1"/>
      <c r="I17" s="1"/>
      <c r="J17" s="1"/>
      <c r="K17" s="1"/>
      <c r="L17" s="1"/>
    </row>
    <row r="18" spans="1:12" ht="15" hidden="1" customHeight="1" x14ac:dyDescent="0.25">
      <c r="A18" s="76"/>
      <c r="B18" s="189"/>
      <c r="C18" s="101"/>
      <c r="D18" s="1"/>
      <c r="E18" s="1"/>
      <c r="F18" s="1"/>
      <c r="G18" s="1"/>
      <c r="H18" s="1"/>
      <c r="I18" s="1"/>
      <c r="J18" s="1"/>
      <c r="K18" s="1"/>
      <c r="L18" s="1"/>
    </row>
    <row r="19" spans="1:12" ht="15" hidden="1" customHeight="1" x14ac:dyDescent="0.25">
      <c r="A19" s="76"/>
      <c r="B19" s="189"/>
      <c r="C19" s="101"/>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D46" s="1"/>
      <c r="E46" s="1"/>
      <c r="F46" s="1"/>
      <c r="G46" s="1"/>
      <c r="H46" s="1"/>
      <c r="I46" s="1"/>
    </row>
    <row r="47" spans="1:12" ht="15" hidden="1" customHeight="1" x14ac:dyDescent="0.25">
      <c r="D47" s="1"/>
      <c r="E47" s="1"/>
      <c r="F47" s="1"/>
      <c r="G47" s="1"/>
      <c r="H47" s="1"/>
    </row>
    <row r="48" spans="1:12" ht="15" hidden="1" customHeight="1" x14ac:dyDescent="0.25">
      <c r="D48" s="1"/>
    </row>
    <row r="49" spans="4:4" ht="15" hidden="1" customHeight="1" x14ac:dyDescent="0.25">
      <c r="D49" s="1"/>
    </row>
    <row r="50" spans="4:4" ht="15" hidden="1" customHeight="1" x14ac:dyDescent="0.25"/>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row r="57" spans="4:4" ht="0" hidden="1" customHeight="1" x14ac:dyDescent="0.25"/>
  </sheetData>
  <sheetProtection algorithmName="SHA-512" hashValue="9SKmGMElSvzbgHRXlCaUb1ly8Sw+u1e3me63uqt4M1s/6DD30GHTKNkWiOiZkRsrtFgj4UrFPoszKRmb76d7cw==" saltValue="dDgQ+YdmW4mfZ5+p5DCbHw==" spinCount="100000" sheet="1" objects="1" scenarios="1" formatRows="0"/>
  <mergeCells count="11">
    <mergeCell ref="E11:F11"/>
    <mergeCell ref="B1:B3"/>
    <mergeCell ref="E4:F5"/>
    <mergeCell ref="G4:G5"/>
    <mergeCell ref="E10:F10"/>
    <mergeCell ref="B4:B10"/>
    <mergeCell ref="H4:H5"/>
    <mergeCell ref="E8:F8"/>
    <mergeCell ref="E6:F6"/>
    <mergeCell ref="E7:F7"/>
    <mergeCell ref="E9:F9"/>
  </mergeCells>
  <hyperlinks>
    <hyperlink ref="E6" location="'E-3 Home cooling'!A1" tooltip="E-3 Home Cooling" display="E-3 Home Cooling" xr:uid="{00000000-0004-0000-0E00-000000000000}"/>
    <hyperlink ref="E7" location="'E-4 Artificial Lighting'!A1" tooltip="E-4 Artificial Lighting" display="E-4 Artificial Lighting" xr:uid="{00000000-0004-0000-0E00-000001000000}"/>
    <hyperlink ref="E8" location="'E-6 Energy Efficient Appliances'!A1" tooltip="E-6 Energy Efficient Appliances" display="E-6 Energy Efficient Appliances" xr:uid="{00000000-0004-0000-0E00-000002000000}"/>
    <hyperlink ref="E9" location="'E-7 Energy Monitors '!A1" tooltip="E-7 Energy Monitors " display="E-7 Energy Monitors " xr:uid="{00000000-0004-0000-0E00-000003000000}"/>
    <hyperlink ref="E9:F9" location="'E-4 Energy Monitor'!B3" tooltip="E-4 Energy Monitor" display="E-4 Energy Monitor" xr:uid="{00000000-0004-0000-0E00-000004000000}"/>
    <hyperlink ref="E8:F8" location="'E-3 Energy Efficient Appliances'!B3" tooltip="E-3 Energy Efficient Appliances" display="E-3 Energy Efficient Appliances" xr:uid="{00000000-0004-0000-0E00-000005000000}"/>
    <hyperlink ref="E6:F6" location="'E-1 Space cooling'!B3" tooltip="E-1 Space Cooling" display="E-1 Space Cooling" xr:uid="{00000000-0004-0000-0E00-000006000000}"/>
    <hyperlink ref="E7:F7" location="'E-2 Artificial Lighting'!B3" tooltip="E-2 Artificial Lighting" display="E-2 Artificial Lighting" xr:uid="{00000000-0004-0000-0E00-000007000000}"/>
    <hyperlink ref="E10" location="'E-7 Energy Monitors '!A1" tooltip="E-7 Energy Monitors " display="E-7 Energy Monitors " xr:uid="{00000000-0004-0000-0E00-000008000000}"/>
    <hyperlink ref="E10:F10" location="'Energy BPC'!B3" tooltip="Energy Best Practice Credits" display="Energy Best Practice Credits" xr:uid="{00000000-0004-0000-0E00-000009000000}"/>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58AB27"/>
  </sheetPr>
  <dimension ref="A1:AB653"/>
  <sheetViews>
    <sheetView showRowColHeaders="0" zoomScaleNormal="100" workbookViewId="0">
      <pane ySplit="8" topLeftCell="A9" activePane="bottomLeft" state="frozen"/>
      <selection sqref="A1:J1"/>
      <selection pane="bottomLeft" activeCell="M2" sqref="M2"/>
    </sheetView>
  </sheetViews>
  <sheetFormatPr defaultColWidth="0" defaultRowHeight="15" zeroHeight="1" x14ac:dyDescent="0.25"/>
  <cols>
    <col min="1" max="1" width="3.7109375" customWidth="1"/>
    <col min="2" max="2" width="19.42578125" customWidth="1"/>
    <col min="3" max="3" width="17.5703125" customWidth="1"/>
    <col min="4" max="4" width="20.28515625" customWidth="1"/>
    <col min="5" max="5" width="16.140625" customWidth="1"/>
    <col min="6" max="6" width="16.28515625" customWidth="1"/>
    <col min="7" max="7" width="18.28515625" customWidth="1"/>
    <col min="8" max="8" width="16" customWidth="1"/>
    <col min="9" max="9" width="17.85546875" customWidth="1"/>
    <col min="10" max="10" width="15.7109375" customWidth="1"/>
    <col min="11" max="11" width="10.42578125" customWidth="1"/>
    <col min="12" max="12" width="8.140625" customWidth="1"/>
    <col min="13" max="13" width="6.42578125" customWidth="1"/>
    <col min="14" max="14" width="7.140625" customWidth="1"/>
    <col min="15" max="23" width="23" hidden="1" customWidth="1"/>
    <col min="24" max="24" width="24.28515625" hidden="1" customWidth="1"/>
    <col min="25" max="26" width="17.140625" hidden="1" customWidth="1"/>
    <col min="27" max="27" width="27.42578125" hidden="1" customWidth="1"/>
    <col min="28" max="28" width="17.42578125" hidden="1" customWidth="1"/>
    <col min="29" max="16384" width="9.140625" hidden="1"/>
  </cols>
  <sheetData>
    <row r="1" spans="1:19" ht="25.5" customHeight="1" x14ac:dyDescent="0.25">
      <c r="A1" s="1743" t="s">
        <v>278</v>
      </c>
      <c r="B1" s="1743"/>
      <c r="C1" s="1743"/>
      <c r="D1" s="1743"/>
      <c r="E1" s="1743"/>
      <c r="F1" s="1743"/>
      <c r="G1" s="1743"/>
      <c r="H1" s="1743"/>
      <c r="I1" s="1743"/>
      <c r="J1" s="1743"/>
      <c r="K1" s="1743"/>
      <c r="L1" s="1743"/>
      <c r="M1" s="1743"/>
      <c r="N1" s="1743"/>
      <c r="O1" s="35"/>
      <c r="P1" s="35"/>
      <c r="Q1" s="35"/>
      <c r="R1" s="35"/>
      <c r="S1" s="35"/>
    </row>
    <row r="2" spans="1:19" ht="15" customHeight="1" x14ac:dyDescent="0.25">
      <c r="A2" s="4"/>
      <c r="B2" s="4"/>
      <c r="C2" s="4"/>
      <c r="D2" s="4"/>
      <c r="E2" s="4"/>
      <c r="F2" s="4"/>
      <c r="G2" s="5"/>
      <c r="H2" s="5"/>
      <c r="I2" s="1753" t="s">
        <v>139</v>
      </c>
      <c r="J2" s="1753"/>
      <c r="K2" s="1753"/>
      <c r="L2" s="1753"/>
      <c r="M2" s="122" t="s">
        <v>20</v>
      </c>
      <c r="N2" s="122"/>
      <c r="O2" s="35"/>
      <c r="P2" s="35"/>
      <c r="Q2" s="35"/>
      <c r="R2" s="35"/>
      <c r="S2" s="35"/>
    </row>
    <row r="3" spans="1:19" ht="15" customHeight="1" x14ac:dyDescent="0.25">
      <c r="A3" s="4"/>
      <c r="B3" s="4"/>
      <c r="C3" s="4"/>
      <c r="D3" s="4"/>
      <c r="E3" s="4"/>
      <c r="F3" s="4"/>
      <c r="G3" s="5"/>
      <c r="H3" s="5"/>
      <c r="I3" s="1753"/>
      <c r="J3" s="1753"/>
      <c r="K3" s="1753"/>
      <c r="L3" s="1753"/>
      <c r="M3" s="122" t="s">
        <v>21</v>
      </c>
      <c r="N3" s="122" t="s">
        <v>1648</v>
      </c>
      <c r="O3" s="35"/>
      <c r="P3" s="35"/>
      <c r="Q3" s="35"/>
      <c r="R3" s="35"/>
      <c r="S3" s="35"/>
    </row>
    <row r="4" spans="1:19" ht="15" customHeight="1" x14ac:dyDescent="0.25">
      <c r="A4" s="4"/>
      <c r="B4" s="4"/>
      <c r="C4" s="4"/>
      <c r="D4" s="4"/>
      <c r="E4" s="4"/>
      <c r="F4" s="4"/>
      <c r="G4" s="5"/>
      <c r="H4" s="5"/>
      <c r="I4" s="1754"/>
      <c r="J4" s="1754"/>
      <c r="K4" s="1754"/>
      <c r="L4" s="1754"/>
      <c r="M4" s="122" t="s">
        <v>22</v>
      </c>
      <c r="N4" s="122"/>
      <c r="O4" s="35"/>
      <c r="P4" s="35"/>
      <c r="Q4" s="35"/>
      <c r="R4" s="35"/>
      <c r="S4" s="35"/>
    </row>
    <row r="5" spans="1:19" s="35" customFormat="1" ht="21" customHeight="1" x14ac:dyDescent="0.25">
      <c r="A5" s="1656" t="s">
        <v>2622</v>
      </c>
      <c r="B5" s="1657"/>
      <c r="C5" s="1657"/>
      <c r="D5" s="1657"/>
      <c r="E5" s="1657"/>
      <c r="F5" s="1657"/>
      <c r="G5" s="1657"/>
      <c r="H5" s="1657"/>
      <c r="I5" s="1657"/>
      <c r="J5" s="1657"/>
      <c r="K5" s="1657"/>
      <c r="L5" s="1657"/>
      <c r="M5" s="1657"/>
      <c r="N5" s="1658"/>
    </row>
    <row r="6" spans="1:19" s="35" customFormat="1" ht="21" customHeight="1" x14ac:dyDescent="0.25">
      <c r="A6" s="1659"/>
      <c r="B6" s="1660"/>
      <c r="C6" s="1660"/>
      <c r="D6" s="1660"/>
      <c r="E6" s="1660"/>
      <c r="F6" s="1660"/>
      <c r="G6" s="1660"/>
      <c r="H6" s="1660"/>
      <c r="I6" s="1660"/>
      <c r="J6" s="1660"/>
      <c r="K6" s="1660"/>
      <c r="L6" s="1660"/>
      <c r="M6" s="1660"/>
      <c r="N6" s="1661"/>
    </row>
    <row r="7" spans="1:19" s="35" customFormat="1" ht="21" customHeight="1" x14ac:dyDescent="0.25">
      <c r="A7" s="1662"/>
      <c r="B7" s="1663"/>
      <c r="C7" s="1663"/>
      <c r="D7" s="1663"/>
      <c r="E7" s="1663"/>
      <c r="F7" s="1663"/>
      <c r="G7" s="1663"/>
      <c r="H7" s="1663"/>
      <c r="I7" s="1663"/>
      <c r="J7" s="1663"/>
      <c r="K7" s="1663"/>
      <c r="L7" s="1663"/>
      <c r="M7" s="1663"/>
      <c r="N7" s="1664"/>
    </row>
    <row r="8" spans="1:19" s="35" customFormat="1" ht="12" customHeight="1" x14ac:dyDescent="0.25">
      <c r="A8" s="45"/>
      <c r="B8" s="46"/>
      <c r="C8" s="46"/>
      <c r="D8" s="46"/>
      <c r="E8" s="46"/>
      <c r="F8" s="45"/>
      <c r="G8" s="45"/>
      <c r="H8" s="45"/>
      <c r="I8" s="45"/>
      <c r="J8" s="45"/>
      <c r="K8" s="45"/>
      <c r="L8" s="45"/>
      <c r="M8" s="45"/>
      <c r="N8" s="45"/>
    </row>
    <row r="9" spans="1:19" s="35" customFormat="1" ht="18" customHeight="1" x14ac:dyDescent="0.25">
      <c r="A9" s="1667" t="s">
        <v>82</v>
      </c>
      <c r="B9" s="1667"/>
      <c r="C9" s="1667"/>
      <c r="D9" s="1667"/>
      <c r="E9" s="1667"/>
      <c r="F9" s="1667"/>
      <c r="G9" s="1667"/>
      <c r="H9" s="1667"/>
      <c r="I9" s="1667"/>
      <c r="J9" s="1667"/>
      <c r="K9" s="1667"/>
      <c r="L9" s="1667"/>
      <c r="M9" s="1667"/>
      <c r="N9" s="1667"/>
    </row>
    <row r="10" spans="1:19" s="35" customFormat="1" x14ac:dyDescent="0.25">
      <c r="A10" s="45"/>
      <c r="B10" s="46"/>
      <c r="C10" s="46"/>
      <c r="D10" s="46"/>
      <c r="E10" s="46"/>
      <c r="F10" s="45"/>
      <c r="G10" s="45"/>
      <c r="H10" s="45"/>
      <c r="I10" s="45"/>
      <c r="J10" s="45"/>
      <c r="K10" s="45"/>
      <c r="L10" s="45"/>
      <c r="M10" s="45"/>
      <c r="N10" s="45"/>
    </row>
    <row r="11" spans="1:19" s="35" customFormat="1" ht="19.5" customHeight="1" x14ac:dyDescent="0.25">
      <c r="A11" s="45"/>
      <c r="B11" s="1680" t="s">
        <v>274</v>
      </c>
      <c r="C11" s="1681"/>
      <c r="D11" s="1681"/>
      <c r="E11" s="1681"/>
      <c r="F11" s="1681"/>
      <c r="G11" s="892" t="s">
        <v>64</v>
      </c>
      <c r="H11" s="892" t="s">
        <v>16</v>
      </c>
      <c r="I11" s="893" t="s">
        <v>133</v>
      </c>
      <c r="J11" s="45"/>
      <c r="K11" s="45"/>
      <c r="L11" s="45"/>
      <c r="M11" s="45"/>
      <c r="N11" s="45"/>
    </row>
    <row r="12" spans="1:19" s="35" customFormat="1" ht="18" customHeight="1" x14ac:dyDescent="0.25">
      <c r="A12" s="45"/>
      <c r="B12" s="1677" t="s">
        <v>279</v>
      </c>
      <c r="C12" s="1678"/>
      <c r="D12" s="1678"/>
      <c r="E12" s="1678"/>
      <c r="F12" s="1678"/>
      <c r="G12" s="1678"/>
      <c r="H12" s="1678"/>
      <c r="I12" s="1679"/>
      <c r="J12" s="264"/>
      <c r="K12" s="45"/>
      <c r="L12" s="45"/>
      <c r="M12" s="45"/>
      <c r="N12" s="45"/>
    </row>
    <row r="13" spans="1:19" s="35" customFormat="1" ht="51.75" customHeight="1" x14ac:dyDescent="0.25">
      <c r="A13" s="45"/>
      <c r="B13" s="1696" t="s">
        <v>1953</v>
      </c>
      <c r="C13" s="1696" t="s">
        <v>96</v>
      </c>
      <c r="D13" s="1696" t="s">
        <v>96</v>
      </c>
      <c r="E13" s="1696" t="s">
        <v>96</v>
      </c>
      <c r="F13" s="1696"/>
      <c r="G13" s="883">
        <v>6</v>
      </c>
      <c r="H13" s="883" t="str">
        <f>IF(D28="Prescriptive Path",IF(C76="",0,C76),"/")</f>
        <v>/</v>
      </c>
      <c r="I13" s="883" t="str">
        <f>IF(D28="Prescriptive Path",IF(C77="","No",C77),"/")</f>
        <v>/</v>
      </c>
      <c r="J13" s="45"/>
      <c r="K13" s="45"/>
      <c r="L13" s="45"/>
      <c r="M13" s="45"/>
      <c r="N13" s="45"/>
      <c r="O13" s="35" t="str">
        <f>IF(H13&lt;&gt;0,IF(I13="No","No","Yes"),"Yes")</f>
        <v>Yes</v>
      </c>
    </row>
    <row r="14" spans="1:19" s="35" customFormat="1" ht="40.5" customHeight="1" x14ac:dyDescent="0.25">
      <c r="A14" s="45"/>
      <c r="B14" s="1697" t="s">
        <v>1719</v>
      </c>
      <c r="C14" s="1749" t="s">
        <v>96</v>
      </c>
      <c r="D14" s="1749" t="s">
        <v>96</v>
      </c>
      <c r="E14" s="1749" t="s">
        <v>96</v>
      </c>
      <c r="F14" s="1749"/>
      <c r="G14" s="883">
        <v>4</v>
      </c>
      <c r="H14" s="883" t="str">
        <f>IF(D28&lt;&gt;"Performance Path","/",IF(C133="",0,C133))</f>
        <v>/</v>
      </c>
      <c r="I14" s="883" t="str">
        <f>IF(D28&lt;&gt;"Performance Path","/",IF(C134="","No",C134))</f>
        <v>/</v>
      </c>
      <c r="J14" s="45"/>
      <c r="K14" s="45"/>
      <c r="L14" s="45"/>
      <c r="M14" s="45"/>
      <c r="N14" s="45"/>
      <c r="O14" s="35" t="str">
        <f>IF(H14&lt;&gt;0,IF(I14="No","No","Yes"),"Yes")</f>
        <v>Yes</v>
      </c>
    </row>
    <row r="15" spans="1:19" s="35" customFormat="1" ht="18" customHeight="1" x14ac:dyDescent="0.25">
      <c r="A15" s="45"/>
      <c r="B15" s="1677" t="s">
        <v>1897</v>
      </c>
      <c r="C15" s="1678"/>
      <c r="D15" s="1678"/>
      <c r="E15" s="1678"/>
      <c r="F15" s="1678"/>
      <c r="G15" s="1678" t="s">
        <v>64</v>
      </c>
      <c r="H15" s="1678" t="s">
        <v>16</v>
      </c>
      <c r="I15" s="1679" t="s">
        <v>133</v>
      </c>
      <c r="J15" s="45"/>
      <c r="K15" s="45"/>
      <c r="L15" s="45"/>
      <c r="M15" s="45"/>
      <c r="N15" s="45"/>
    </row>
    <row r="16" spans="1:19" s="35" customFormat="1" ht="65.25" customHeight="1" x14ac:dyDescent="0.25">
      <c r="A16" s="45"/>
      <c r="B16" s="1698" t="s">
        <v>2196</v>
      </c>
      <c r="C16" s="1699"/>
      <c r="D16" s="1699"/>
      <c r="E16" s="1699"/>
      <c r="F16" s="1699"/>
      <c r="G16" s="883">
        <v>4</v>
      </c>
      <c r="H16" s="883" t="str">
        <f>IF(D138="Prescriptive Path",IF(C176="",0,C176),"/")</f>
        <v>/</v>
      </c>
      <c r="I16" s="883" t="str">
        <f>IF(D138="Prescriptive Path",IF(C177="",0,C177),"/")</f>
        <v>/</v>
      </c>
      <c r="J16" s="45"/>
      <c r="K16" s="45"/>
      <c r="L16" s="45"/>
      <c r="M16" s="45"/>
      <c r="N16" s="45"/>
      <c r="O16" s="35" t="str">
        <f t="shared" ref="O16:O23" si="0">IF(H16&lt;&gt;0,IF(I16="No","No","Yes"),"Yes")</f>
        <v>Yes</v>
      </c>
      <c r="Q16"/>
      <c r="R16"/>
    </row>
    <row r="17" spans="1:18" s="35" customFormat="1" ht="76.5" customHeight="1" x14ac:dyDescent="0.25">
      <c r="A17" s="45"/>
      <c r="B17" s="1698" t="s">
        <v>2195</v>
      </c>
      <c r="C17" s="1699"/>
      <c r="D17" s="1699"/>
      <c r="E17" s="1699"/>
      <c r="F17" s="1750"/>
      <c r="G17" s="281">
        <v>4</v>
      </c>
      <c r="H17" s="281" t="str">
        <f>IF(D138="Performance Path",IF(C277="",0,C277),"/")</f>
        <v>/</v>
      </c>
      <c r="I17" s="281" t="str">
        <f>IF(D138="Performance Path",IF(C278="",0,C278),"/")</f>
        <v>/</v>
      </c>
      <c r="J17" s="45"/>
      <c r="K17" s="45"/>
      <c r="L17" s="45"/>
      <c r="M17" s="45"/>
      <c r="N17" s="45"/>
      <c r="O17" s="35" t="str">
        <f t="shared" si="0"/>
        <v>Yes</v>
      </c>
      <c r="Q17"/>
      <c r="R17"/>
    </row>
    <row r="18" spans="1:18" s="35" customFormat="1" ht="18" customHeight="1" x14ac:dyDescent="0.25">
      <c r="A18" s="45"/>
      <c r="B18" s="1677" t="s">
        <v>927</v>
      </c>
      <c r="C18" s="1678"/>
      <c r="D18" s="1678"/>
      <c r="E18" s="1678"/>
      <c r="F18" s="1678"/>
      <c r="G18" s="1678" t="s">
        <v>64</v>
      </c>
      <c r="H18" s="1678" t="s">
        <v>16</v>
      </c>
      <c r="I18" s="1679" t="s">
        <v>133</v>
      </c>
      <c r="J18" s="45"/>
      <c r="K18" s="45"/>
      <c r="L18" s="45"/>
      <c r="M18" s="45"/>
      <c r="N18" s="45"/>
    </row>
    <row r="19" spans="1:18" s="35" customFormat="1" ht="30" customHeight="1" x14ac:dyDescent="0.25">
      <c r="A19" s="45"/>
      <c r="B19" s="1698" t="s">
        <v>1524</v>
      </c>
      <c r="C19" s="1699" t="s">
        <v>97</v>
      </c>
      <c r="D19" s="1699" t="s">
        <v>97</v>
      </c>
      <c r="E19" s="1699" t="s">
        <v>97</v>
      </c>
      <c r="F19" s="1699">
        <v>1</v>
      </c>
      <c r="G19" s="883">
        <v>1</v>
      </c>
      <c r="H19" s="883">
        <f>C325</f>
        <v>0</v>
      </c>
      <c r="I19" s="883" t="str">
        <f>C326</f>
        <v>No</v>
      </c>
      <c r="J19" s="45"/>
      <c r="K19" s="45"/>
      <c r="L19" s="45"/>
      <c r="M19" s="45"/>
      <c r="N19" s="45"/>
      <c r="O19" s="35" t="str">
        <f t="shared" si="0"/>
        <v>Yes</v>
      </c>
      <c r="Q19"/>
      <c r="R19"/>
    </row>
    <row r="20" spans="1:18" s="35" customFormat="1" ht="18" customHeight="1" x14ac:dyDescent="0.25">
      <c r="A20" s="45"/>
      <c r="B20" s="1677" t="s">
        <v>928</v>
      </c>
      <c r="C20" s="1678"/>
      <c r="D20" s="1678"/>
      <c r="E20" s="1678"/>
      <c r="F20" s="1678"/>
      <c r="G20" s="1678" t="s">
        <v>64</v>
      </c>
      <c r="H20" s="1678" t="s">
        <v>16</v>
      </c>
      <c r="I20" s="1679" t="s">
        <v>133</v>
      </c>
      <c r="J20" s="45"/>
      <c r="K20" s="45"/>
      <c r="L20" s="45"/>
      <c r="M20" s="45"/>
      <c r="N20" s="45"/>
      <c r="Q20"/>
      <c r="R20"/>
    </row>
    <row r="21" spans="1:18" ht="30" customHeight="1" x14ac:dyDescent="0.25">
      <c r="A21" s="4"/>
      <c r="B21" s="1697" t="s">
        <v>1522</v>
      </c>
      <c r="C21" s="1697" t="s">
        <v>97</v>
      </c>
      <c r="D21" s="1697" t="s">
        <v>97</v>
      </c>
      <c r="E21" s="1697" t="s">
        <v>97</v>
      </c>
      <c r="F21" s="1697">
        <v>1</v>
      </c>
      <c r="G21" s="883">
        <v>2</v>
      </c>
      <c r="H21" s="883">
        <f>C395</f>
        <v>0</v>
      </c>
      <c r="I21" s="883" t="str">
        <f>C396</f>
        <v>No</v>
      </c>
      <c r="J21" s="5"/>
      <c r="K21" s="5"/>
      <c r="L21" s="5"/>
      <c r="M21" s="45"/>
      <c r="N21" s="5"/>
      <c r="O21" s="35" t="str">
        <f t="shared" si="0"/>
        <v>Yes</v>
      </c>
    </row>
    <row r="22" spans="1:18" ht="18" customHeight="1" x14ac:dyDescent="0.25">
      <c r="A22" s="4"/>
      <c r="B22" s="1677" t="s">
        <v>507</v>
      </c>
      <c r="C22" s="1678"/>
      <c r="D22" s="1678"/>
      <c r="E22" s="1678"/>
      <c r="F22" s="1678"/>
      <c r="G22" s="1678" t="s">
        <v>64</v>
      </c>
      <c r="H22" s="1678" t="s">
        <v>16</v>
      </c>
      <c r="I22" s="1679" t="s">
        <v>133</v>
      </c>
      <c r="J22" s="5"/>
      <c r="K22" s="5"/>
      <c r="L22" s="5"/>
      <c r="M22" s="45"/>
      <c r="N22" s="5"/>
      <c r="O22" s="35"/>
    </row>
    <row r="23" spans="1:18" ht="56.25" customHeight="1" x14ac:dyDescent="0.25">
      <c r="A23" s="4"/>
      <c r="B23" s="1697" t="s">
        <v>1523</v>
      </c>
      <c r="C23" s="1697" t="s">
        <v>97</v>
      </c>
      <c r="D23" s="1697" t="s">
        <v>97</v>
      </c>
      <c r="E23" s="1697" t="s">
        <v>97</v>
      </c>
      <c r="F23" s="1697">
        <v>1</v>
      </c>
      <c r="G23" s="883">
        <v>2</v>
      </c>
      <c r="H23" s="883">
        <f>C469</f>
        <v>0</v>
      </c>
      <c r="I23" s="883" t="str">
        <f>C470</f>
        <v>No</v>
      </c>
      <c r="J23" s="5"/>
      <c r="K23" s="5"/>
      <c r="L23" s="5"/>
      <c r="M23" s="45"/>
      <c r="N23" s="5"/>
      <c r="O23" s="35" t="str">
        <f t="shared" si="0"/>
        <v>Yes</v>
      </c>
    </row>
    <row r="24" spans="1:18" ht="19.5" customHeight="1" x14ac:dyDescent="0.25">
      <c r="A24" s="4"/>
      <c r="B24" s="1751" t="s">
        <v>25</v>
      </c>
      <c r="C24" s="1752" t="s">
        <v>97</v>
      </c>
      <c r="D24" s="1752" t="s">
        <v>97</v>
      </c>
      <c r="E24" s="1752" t="s">
        <v>97</v>
      </c>
      <c r="F24" s="1752">
        <v>1</v>
      </c>
      <c r="G24" s="894">
        <v>6</v>
      </c>
      <c r="H24" s="894">
        <f>MIN(6,SUM(H13:H23))</f>
        <v>0</v>
      </c>
      <c r="I24" s="894" t="str">
        <f>IF(COUNTIF(I13:I23,"No")=7,"No",IF(COUNTIF(I13:I23,"Yes")=7,"Yes","No"))</f>
        <v>No</v>
      </c>
      <c r="J24" s="5"/>
      <c r="K24" s="5"/>
      <c r="L24" s="5"/>
      <c r="M24" s="5"/>
      <c r="N24" s="5"/>
    </row>
    <row r="25" spans="1:18" ht="18" customHeight="1" x14ac:dyDescent="0.25">
      <c r="A25" s="4"/>
      <c r="B25" s="4"/>
      <c r="C25" s="4"/>
      <c r="D25" s="4"/>
      <c r="E25" s="4"/>
      <c r="F25" s="4"/>
      <c r="G25" s="5"/>
      <c r="H25" s="630" t="str">
        <f>IFERROR(IF(SUM(H13:H23)&gt;6,"→ One EP-1 point can be targeted",""),"")</f>
        <v/>
      </c>
      <c r="I25" s="5"/>
      <c r="J25" s="5"/>
      <c r="K25" s="5"/>
      <c r="L25" s="5"/>
      <c r="M25" s="5"/>
      <c r="N25" s="5"/>
    </row>
    <row r="26" spans="1:18" ht="18" customHeight="1" x14ac:dyDescent="0.25">
      <c r="A26" s="1667" t="s">
        <v>279</v>
      </c>
      <c r="B26" s="1667"/>
      <c r="C26" s="1667"/>
      <c r="D26" s="1667"/>
      <c r="E26" s="1667"/>
      <c r="F26" s="1667"/>
      <c r="G26" s="1667"/>
      <c r="H26" s="1667"/>
      <c r="I26" s="1667"/>
      <c r="J26" s="1667"/>
      <c r="K26" s="1667"/>
      <c r="L26" s="1667"/>
      <c r="M26" s="1667"/>
      <c r="N26" s="1667"/>
    </row>
    <row r="27" spans="1:18" ht="15" customHeight="1" x14ac:dyDescent="0.25">
      <c r="A27" s="4"/>
      <c r="B27" s="4"/>
      <c r="C27" s="4"/>
      <c r="D27" s="4"/>
      <c r="E27" s="4"/>
      <c r="F27" s="4"/>
      <c r="G27" s="5"/>
      <c r="H27" s="5"/>
      <c r="I27" s="5"/>
      <c r="J27" s="5"/>
      <c r="K27" s="5"/>
      <c r="L27" s="5"/>
      <c r="M27" s="5"/>
      <c r="N27" s="5"/>
    </row>
    <row r="28" spans="1:18" ht="16.5" customHeight="1" x14ac:dyDescent="0.25">
      <c r="A28" s="4"/>
      <c r="B28" s="1744" t="s">
        <v>1525</v>
      </c>
      <c r="C28" s="1745"/>
      <c r="D28" s="1070" t="s">
        <v>53</v>
      </c>
      <c r="E28" s="4"/>
      <c r="F28" s="4"/>
      <c r="G28" s="5"/>
      <c r="H28" s="5"/>
      <c r="I28" s="5"/>
      <c r="J28" s="5"/>
      <c r="K28" s="5"/>
      <c r="L28" s="5"/>
      <c r="M28" s="5"/>
      <c r="N28" s="5"/>
    </row>
    <row r="29" spans="1:18" ht="17.25" customHeight="1" x14ac:dyDescent="0.25">
      <c r="A29" s="4"/>
      <c r="B29" s="4"/>
      <c r="C29" s="4"/>
      <c r="D29" s="4"/>
      <c r="E29" s="4"/>
      <c r="F29" s="4"/>
      <c r="G29" s="5"/>
      <c r="H29" s="5"/>
      <c r="I29" s="5"/>
      <c r="J29" s="5"/>
      <c r="K29" s="5"/>
      <c r="L29" s="5"/>
      <c r="M29" s="5"/>
      <c r="N29" s="5"/>
    </row>
    <row r="30" spans="1:18" ht="18" customHeight="1" x14ac:dyDescent="0.25">
      <c r="A30" s="1667" t="s">
        <v>1526</v>
      </c>
      <c r="B30" s="1667"/>
      <c r="C30" s="1667"/>
      <c r="D30" s="1667"/>
      <c r="E30" s="1667"/>
      <c r="F30" s="1667"/>
      <c r="G30" s="1667"/>
      <c r="H30" s="1667"/>
      <c r="I30" s="1667"/>
      <c r="J30" s="1667"/>
      <c r="K30" s="1667"/>
      <c r="L30" s="1667"/>
      <c r="M30" s="1667"/>
      <c r="N30" s="1667"/>
    </row>
    <row r="31" spans="1:18" ht="13.5" customHeight="1" x14ac:dyDescent="0.25">
      <c r="A31" s="667"/>
      <c r="B31" s="114"/>
      <c r="C31" s="114"/>
      <c r="D31" s="114"/>
      <c r="E31" s="114"/>
      <c r="F31" s="114"/>
      <c r="G31" s="114"/>
      <c r="H31" s="114"/>
      <c r="I31" s="114"/>
      <c r="J31" s="114"/>
      <c r="K31" s="114"/>
      <c r="L31" s="114"/>
      <c r="M31" s="114"/>
      <c r="N31" s="114"/>
    </row>
    <row r="32" spans="1:18" ht="16.5" customHeight="1" x14ac:dyDescent="0.25">
      <c r="A32" s="1688" t="s">
        <v>102</v>
      </c>
      <c r="B32" s="1688"/>
      <c r="C32" s="1688"/>
      <c r="D32" s="114"/>
      <c r="E32" s="114"/>
      <c r="F32" s="114"/>
      <c r="G32" s="114"/>
      <c r="H32" s="114"/>
      <c r="I32" s="114"/>
      <c r="J32" s="114"/>
      <c r="K32" s="114"/>
      <c r="L32" s="114"/>
      <c r="M32" s="114"/>
      <c r="N32" s="114"/>
    </row>
    <row r="33" spans="1:16" x14ac:dyDescent="0.25">
      <c r="A33" s="114"/>
      <c r="B33" s="114"/>
      <c r="C33" s="114"/>
      <c r="D33" s="114"/>
      <c r="E33" s="114"/>
      <c r="F33" s="114"/>
      <c r="G33" s="114"/>
      <c r="H33" s="114"/>
      <c r="I33" s="114"/>
      <c r="J33" s="114"/>
      <c r="K33" s="114"/>
      <c r="L33" s="114"/>
      <c r="M33" s="114"/>
      <c r="N33" s="114"/>
    </row>
    <row r="34" spans="1:16" x14ac:dyDescent="0.25">
      <c r="A34" s="114"/>
      <c r="B34" s="895" t="s">
        <v>1527</v>
      </c>
      <c r="C34" s="114"/>
      <c r="D34" s="114"/>
      <c r="E34" s="114"/>
      <c r="F34" s="114"/>
      <c r="G34" s="114"/>
      <c r="H34" s="114"/>
      <c r="I34" s="114"/>
      <c r="J34" s="114"/>
      <c r="K34" s="114"/>
      <c r="L34" s="114"/>
      <c r="M34" s="114"/>
      <c r="N34" s="114"/>
    </row>
    <row r="35" spans="1:16" x14ac:dyDescent="0.25">
      <c r="A35" s="114"/>
      <c r="B35" s="114"/>
      <c r="C35" s="114"/>
      <c r="D35" s="114"/>
      <c r="E35" s="114"/>
      <c r="F35" s="114"/>
      <c r="G35" s="114"/>
      <c r="H35" s="114"/>
      <c r="I35" s="114"/>
      <c r="J35" s="114"/>
      <c r="K35" s="114"/>
      <c r="L35" s="114"/>
      <c r="M35" s="114"/>
      <c r="N35" s="114"/>
    </row>
    <row r="36" spans="1:16" ht="15.75" customHeight="1" x14ac:dyDescent="0.25">
      <c r="A36" s="114"/>
      <c r="B36" s="1674" t="s">
        <v>1693</v>
      </c>
      <c r="C36" s="1675"/>
      <c r="D36" s="1675"/>
      <c r="E36" s="1675"/>
      <c r="F36" s="1675"/>
      <c r="G36" s="1676"/>
      <c r="H36" s="114"/>
      <c r="I36" s="114"/>
      <c r="J36" s="114"/>
      <c r="K36" s="114"/>
      <c r="L36" s="114"/>
      <c r="M36" s="114"/>
      <c r="N36" s="114"/>
    </row>
    <row r="37" spans="1:16" ht="15.75" customHeight="1" x14ac:dyDescent="0.25">
      <c r="A37" s="114"/>
      <c r="B37" s="1668" t="s">
        <v>1722</v>
      </c>
      <c r="C37" s="1669"/>
      <c r="D37" s="1669"/>
      <c r="E37" s="1669"/>
      <c r="F37" s="1669"/>
      <c r="G37" s="1670"/>
      <c r="H37" s="114"/>
      <c r="I37" s="114"/>
      <c r="J37" s="114"/>
      <c r="K37" s="114"/>
      <c r="L37" s="114"/>
      <c r="M37" s="114"/>
      <c r="N37" s="114"/>
    </row>
    <row r="38" spans="1:16" ht="15.75" customHeight="1" x14ac:dyDescent="0.25">
      <c r="A38" s="114"/>
      <c r="B38" s="1668" t="s">
        <v>1954</v>
      </c>
      <c r="C38" s="1669"/>
      <c r="D38" s="1669"/>
      <c r="E38" s="1669"/>
      <c r="F38" s="1669"/>
      <c r="G38" s="1670"/>
      <c r="H38" s="114"/>
      <c r="I38" s="114"/>
      <c r="J38" s="114"/>
      <c r="K38" s="114"/>
      <c r="L38" s="114"/>
      <c r="M38" s="114"/>
      <c r="N38" s="114"/>
    </row>
    <row r="39" spans="1:16" ht="15.75" customHeight="1" x14ac:dyDescent="0.25">
      <c r="A39" s="114"/>
      <c r="B39" s="1671" t="s">
        <v>1955</v>
      </c>
      <c r="C39" s="1672"/>
      <c r="D39" s="1672"/>
      <c r="E39" s="1672"/>
      <c r="F39" s="1672"/>
      <c r="G39" s="1673"/>
      <c r="H39" s="114"/>
      <c r="I39" s="114"/>
      <c r="J39" s="114"/>
      <c r="K39" s="114"/>
      <c r="L39" s="114"/>
      <c r="M39" s="114"/>
      <c r="N39" s="114"/>
    </row>
    <row r="40" spans="1:16" ht="17.25" customHeight="1" x14ac:dyDescent="0.25">
      <c r="A40" s="114"/>
      <c r="B40" s="896"/>
      <c r="C40" s="114"/>
      <c r="D40" s="114"/>
      <c r="E40" s="114"/>
      <c r="F40" s="114"/>
      <c r="G40" s="114"/>
      <c r="H40" s="114"/>
      <c r="I40" s="114"/>
      <c r="J40" s="114"/>
      <c r="K40" s="114"/>
      <c r="L40" s="114"/>
      <c r="M40" s="114"/>
      <c r="N40" s="114"/>
    </row>
    <row r="41" spans="1:16" ht="16.5" customHeight="1" x14ac:dyDescent="0.25">
      <c r="A41" s="114"/>
      <c r="B41" s="897" t="s">
        <v>1720</v>
      </c>
      <c r="C41" s="114"/>
      <c r="D41" s="114"/>
      <c r="E41" s="114"/>
      <c r="F41" s="114"/>
      <c r="G41" s="114"/>
      <c r="H41" s="114"/>
      <c r="I41" s="114"/>
      <c r="J41" s="114"/>
      <c r="K41" s="114"/>
      <c r="L41" s="114"/>
      <c r="M41" s="114"/>
      <c r="N41" s="114"/>
    </row>
    <row r="42" spans="1:16" ht="9" customHeight="1" x14ac:dyDescent="0.25">
      <c r="A42" s="114"/>
      <c r="B42" s="898"/>
      <c r="C42" s="114"/>
      <c r="D42" s="114"/>
      <c r="E42" s="114"/>
      <c r="F42" s="114"/>
      <c r="G42" s="114"/>
      <c r="H42" s="114"/>
      <c r="I42" s="114"/>
      <c r="J42" s="114"/>
      <c r="K42" s="114"/>
      <c r="L42" s="114"/>
      <c r="M42" s="114"/>
      <c r="N42" s="114"/>
    </row>
    <row r="43" spans="1:16" ht="27" customHeight="1" x14ac:dyDescent="0.25">
      <c r="A43" s="114"/>
      <c r="B43" s="878" t="s">
        <v>1528</v>
      </c>
      <c r="C43" s="873" t="s">
        <v>711</v>
      </c>
      <c r="D43" s="1034" t="s">
        <v>1721</v>
      </c>
      <c r="E43" s="1034" t="s">
        <v>1723</v>
      </c>
      <c r="F43" s="873" t="s">
        <v>1516</v>
      </c>
      <c r="G43" s="875" t="s">
        <v>77</v>
      </c>
      <c r="H43" s="114"/>
      <c r="I43" s="114"/>
      <c r="J43" s="114"/>
      <c r="K43" s="114"/>
      <c r="L43" s="114"/>
      <c r="M43" s="114"/>
      <c r="N43" s="114"/>
      <c r="P43" s="873" t="s">
        <v>1529</v>
      </c>
    </row>
    <row r="44" spans="1:16" x14ac:dyDescent="0.25">
      <c r="A44" s="114"/>
      <c r="B44" s="871"/>
      <c r="C44" s="861"/>
      <c r="D44" s="1049" t="s">
        <v>53</v>
      </c>
      <c r="E44" s="1035" t="s">
        <v>53</v>
      </c>
      <c r="F44" s="869"/>
      <c r="G44" s="166" t="str">
        <f>IF(AND(D44="No",E44&lt;&gt;"Select",E44&lt;&gt;"none"),IF(E44="normal fans",IF(P44&gt;=1,"Yes","No"),"Yes"),"No")</f>
        <v>No</v>
      </c>
      <c r="H44" s="114" t="str">
        <f>IF(E44="cross ventilation","Complete the table below in the Performance Path to demonstrate compliance.","")</f>
        <v/>
      </c>
      <c r="I44" s="114"/>
      <c r="J44" s="114"/>
      <c r="K44" s="114"/>
      <c r="L44" s="114"/>
      <c r="M44" s="114"/>
      <c r="N44" s="114"/>
      <c r="P44" s="899" t="str">
        <f t="shared" ref="P44:P63" si="1">IFERROR(F44/C44*20,"")</f>
        <v/>
      </c>
    </row>
    <row r="45" spans="1:16" x14ac:dyDescent="0.25">
      <c r="A45" s="114"/>
      <c r="B45" s="871"/>
      <c r="C45" s="861"/>
      <c r="D45" s="1049" t="s">
        <v>53</v>
      </c>
      <c r="E45" s="1035" t="s">
        <v>53</v>
      </c>
      <c r="F45" s="869"/>
      <c r="G45" s="166" t="str">
        <f t="shared" ref="G45:G63" si="2">IF(AND(D45="No",E45&lt;&gt;"Select",E45&lt;&gt;"none"),IF(E45="normal fans",IF(P45&gt;=1,"Yes","No"),"Yes"),"No")</f>
        <v>No</v>
      </c>
      <c r="H45" s="114" t="str">
        <f t="shared" ref="H45:H63" si="3">IF(E45="cross ventilation","Complete the table below in the Performance Path to demonstrate compliance.","")</f>
        <v/>
      </c>
      <c r="I45" s="114"/>
      <c r="J45" s="114"/>
      <c r="K45" s="114"/>
      <c r="L45" s="114"/>
      <c r="M45" s="114"/>
      <c r="N45" s="114"/>
      <c r="P45" s="899" t="str">
        <f t="shared" si="1"/>
        <v/>
      </c>
    </row>
    <row r="46" spans="1:16" x14ac:dyDescent="0.25">
      <c r="A46" s="114"/>
      <c r="B46" s="871"/>
      <c r="C46" s="861"/>
      <c r="D46" s="1049" t="s">
        <v>53</v>
      </c>
      <c r="E46" s="1035" t="s">
        <v>53</v>
      </c>
      <c r="F46" s="869"/>
      <c r="G46" s="166" t="str">
        <f t="shared" si="2"/>
        <v>No</v>
      </c>
      <c r="H46" s="114" t="str">
        <f t="shared" si="3"/>
        <v/>
      </c>
      <c r="I46" s="114"/>
      <c r="J46" s="114"/>
      <c r="K46" s="114"/>
      <c r="L46" s="114"/>
      <c r="M46" s="114"/>
      <c r="N46" s="114"/>
      <c r="P46" s="899" t="str">
        <f t="shared" si="1"/>
        <v/>
      </c>
    </row>
    <row r="47" spans="1:16" x14ac:dyDescent="0.25">
      <c r="A47" s="114"/>
      <c r="B47" s="871"/>
      <c r="C47" s="861"/>
      <c r="D47" s="1049" t="s">
        <v>53</v>
      </c>
      <c r="E47" s="1035" t="s">
        <v>53</v>
      </c>
      <c r="F47" s="869"/>
      <c r="G47" s="166" t="str">
        <f t="shared" si="2"/>
        <v>No</v>
      </c>
      <c r="H47" s="114" t="str">
        <f t="shared" si="3"/>
        <v/>
      </c>
      <c r="I47" s="114"/>
      <c r="J47" s="114"/>
      <c r="K47" s="114"/>
      <c r="L47" s="114"/>
      <c r="M47" s="114"/>
      <c r="N47" s="114"/>
      <c r="P47" s="899" t="str">
        <f t="shared" si="1"/>
        <v/>
      </c>
    </row>
    <row r="48" spans="1:16" x14ac:dyDescent="0.25">
      <c r="A48" s="114"/>
      <c r="B48" s="871"/>
      <c r="C48" s="861"/>
      <c r="D48" s="1049" t="s">
        <v>53</v>
      </c>
      <c r="E48" s="1035" t="s">
        <v>53</v>
      </c>
      <c r="F48" s="869"/>
      <c r="G48" s="166" t="str">
        <f t="shared" si="2"/>
        <v>No</v>
      </c>
      <c r="H48" s="114" t="str">
        <f t="shared" si="3"/>
        <v/>
      </c>
      <c r="I48" s="114"/>
      <c r="J48" s="114"/>
      <c r="K48" s="114"/>
      <c r="L48" s="114"/>
      <c r="M48" s="114"/>
      <c r="N48" s="114"/>
      <c r="P48" s="899" t="str">
        <f t="shared" si="1"/>
        <v/>
      </c>
    </row>
    <row r="49" spans="1:16" x14ac:dyDescent="0.25">
      <c r="A49" s="114"/>
      <c r="B49" s="871"/>
      <c r="C49" s="861"/>
      <c r="D49" s="1049" t="s">
        <v>53</v>
      </c>
      <c r="E49" s="1035" t="s">
        <v>53</v>
      </c>
      <c r="F49" s="869"/>
      <c r="G49" s="166" t="str">
        <f t="shared" si="2"/>
        <v>No</v>
      </c>
      <c r="H49" s="114" t="str">
        <f t="shared" si="3"/>
        <v/>
      </c>
      <c r="I49" s="114"/>
      <c r="J49" s="114"/>
      <c r="K49" s="114"/>
      <c r="L49" s="114"/>
      <c r="M49" s="114"/>
      <c r="N49" s="114"/>
      <c r="P49" s="899" t="str">
        <f t="shared" si="1"/>
        <v/>
      </c>
    </row>
    <row r="50" spans="1:16" x14ac:dyDescent="0.25">
      <c r="A50" s="114"/>
      <c r="B50" s="871"/>
      <c r="C50" s="861"/>
      <c r="D50" s="1049" t="s">
        <v>53</v>
      </c>
      <c r="E50" s="1035" t="s">
        <v>53</v>
      </c>
      <c r="F50" s="869"/>
      <c r="G50" s="166" t="str">
        <f t="shared" si="2"/>
        <v>No</v>
      </c>
      <c r="H50" s="114" t="str">
        <f t="shared" si="3"/>
        <v/>
      </c>
      <c r="I50" s="114"/>
      <c r="J50" s="114"/>
      <c r="K50" s="114"/>
      <c r="L50" s="114"/>
      <c r="M50" s="114"/>
      <c r="N50" s="114"/>
      <c r="P50" s="899" t="str">
        <f t="shared" si="1"/>
        <v/>
      </c>
    </row>
    <row r="51" spans="1:16" x14ac:dyDescent="0.25">
      <c r="A51" s="114"/>
      <c r="B51" s="871"/>
      <c r="C51" s="861"/>
      <c r="D51" s="1049" t="s">
        <v>53</v>
      </c>
      <c r="E51" s="1035" t="s">
        <v>53</v>
      </c>
      <c r="F51" s="869"/>
      <c r="G51" s="166" t="str">
        <f t="shared" si="2"/>
        <v>No</v>
      </c>
      <c r="H51" s="114" t="str">
        <f t="shared" si="3"/>
        <v/>
      </c>
      <c r="I51" s="114"/>
      <c r="J51" s="114"/>
      <c r="K51" s="114"/>
      <c r="L51" s="114"/>
      <c r="M51" s="114"/>
      <c r="N51" s="114"/>
      <c r="P51" s="899" t="str">
        <f t="shared" si="1"/>
        <v/>
      </c>
    </row>
    <row r="52" spans="1:16" x14ac:dyDescent="0.25">
      <c r="A52" s="114"/>
      <c r="B52" s="1189"/>
      <c r="C52" s="861"/>
      <c r="D52" s="1049" t="s">
        <v>53</v>
      </c>
      <c r="E52" s="1190" t="s">
        <v>53</v>
      </c>
      <c r="F52" s="1187"/>
      <c r="G52" s="166" t="str">
        <f t="shared" ref="G52:G56" si="4">IF(AND(D52="No",E52&lt;&gt;"Select",E52&lt;&gt;"none"),IF(E52="normal fans",IF(P52&gt;=1,"Yes","No"),"Yes"),"No")</f>
        <v>No</v>
      </c>
      <c r="H52" s="114" t="str">
        <f t="shared" ref="H52:H56" si="5">IF(E52="cross ventilation","Complete the table below in the Performance Path to demonstrate compliance.","")</f>
        <v/>
      </c>
      <c r="I52" s="114"/>
      <c r="J52" s="114"/>
      <c r="K52" s="114"/>
      <c r="L52" s="114"/>
      <c r="M52" s="114"/>
      <c r="N52" s="114"/>
      <c r="P52" s="899" t="str">
        <f t="shared" ref="P52:P56" si="6">IFERROR(F52/C52*20,"")</f>
        <v/>
      </c>
    </row>
    <row r="53" spans="1:16" x14ac:dyDescent="0.25">
      <c r="A53" s="114"/>
      <c r="B53" s="1189"/>
      <c r="C53" s="861"/>
      <c r="D53" s="1049" t="s">
        <v>53</v>
      </c>
      <c r="E53" s="1190" t="s">
        <v>53</v>
      </c>
      <c r="F53" s="1187"/>
      <c r="G53" s="166" t="str">
        <f t="shared" si="4"/>
        <v>No</v>
      </c>
      <c r="H53" s="114" t="str">
        <f t="shared" si="5"/>
        <v/>
      </c>
      <c r="I53" s="114"/>
      <c r="J53" s="114"/>
      <c r="K53" s="114"/>
      <c r="L53" s="114"/>
      <c r="M53" s="114"/>
      <c r="N53" s="114"/>
      <c r="P53" s="899" t="str">
        <f t="shared" si="6"/>
        <v/>
      </c>
    </row>
    <row r="54" spans="1:16" x14ac:dyDescent="0.25">
      <c r="A54" s="114"/>
      <c r="B54" s="1189"/>
      <c r="C54" s="861"/>
      <c r="D54" s="1049" t="s">
        <v>53</v>
      </c>
      <c r="E54" s="1190" t="s">
        <v>53</v>
      </c>
      <c r="F54" s="1187"/>
      <c r="G54" s="166" t="str">
        <f t="shared" si="4"/>
        <v>No</v>
      </c>
      <c r="H54" s="114" t="str">
        <f t="shared" si="5"/>
        <v/>
      </c>
      <c r="I54" s="114"/>
      <c r="J54" s="114"/>
      <c r="K54" s="114"/>
      <c r="L54" s="114"/>
      <c r="M54" s="114"/>
      <c r="N54" s="114"/>
      <c r="P54" s="899" t="str">
        <f t="shared" si="6"/>
        <v/>
      </c>
    </row>
    <row r="55" spans="1:16" x14ac:dyDescent="0.25">
      <c r="A55" s="114"/>
      <c r="B55" s="1189"/>
      <c r="C55" s="861"/>
      <c r="D55" s="1049" t="s">
        <v>53</v>
      </c>
      <c r="E55" s="1190" t="s">
        <v>53</v>
      </c>
      <c r="F55" s="1187"/>
      <c r="G55" s="166" t="str">
        <f t="shared" si="4"/>
        <v>No</v>
      </c>
      <c r="H55" s="114" t="str">
        <f t="shared" si="5"/>
        <v/>
      </c>
      <c r="I55" s="114"/>
      <c r="J55" s="114"/>
      <c r="K55" s="114"/>
      <c r="L55" s="114"/>
      <c r="M55" s="114"/>
      <c r="N55" s="114"/>
      <c r="P55" s="899" t="str">
        <f t="shared" si="6"/>
        <v/>
      </c>
    </row>
    <row r="56" spans="1:16" x14ac:dyDescent="0.25">
      <c r="A56" s="114"/>
      <c r="B56" s="1189"/>
      <c r="C56" s="861"/>
      <c r="D56" s="1049" t="s">
        <v>53</v>
      </c>
      <c r="E56" s="1190" t="s">
        <v>53</v>
      </c>
      <c r="F56" s="1187"/>
      <c r="G56" s="166" t="str">
        <f t="shared" si="4"/>
        <v>No</v>
      </c>
      <c r="H56" s="114" t="str">
        <f t="shared" si="5"/>
        <v/>
      </c>
      <c r="I56" s="114"/>
      <c r="J56" s="114"/>
      <c r="K56" s="114"/>
      <c r="L56" s="114"/>
      <c r="M56" s="114"/>
      <c r="N56" s="114"/>
      <c r="P56" s="899" t="str">
        <f t="shared" si="6"/>
        <v/>
      </c>
    </row>
    <row r="57" spans="1:16" x14ac:dyDescent="0.25">
      <c r="A57" s="114"/>
      <c r="B57" s="871"/>
      <c r="C57" s="861"/>
      <c r="D57" s="1049" t="s">
        <v>53</v>
      </c>
      <c r="E57" s="1035" t="s">
        <v>53</v>
      </c>
      <c r="F57" s="869"/>
      <c r="G57" s="166" t="str">
        <f t="shared" si="2"/>
        <v>No</v>
      </c>
      <c r="H57" s="114" t="str">
        <f t="shared" si="3"/>
        <v/>
      </c>
      <c r="I57" s="114"/>
      <c r="J57" s="114"/>
      <c r="K57" s="114"/>
      <c r="L57" s="114"/>
      <c r="M57" s="114"/>
      <c r="N57" s="114"/>
      <c r="P57" s="899" t="str">
        <f t="shared" si="1"/>
        <v/>
      </c>
    </row>
    <row r="58" spans="1:16" x14ac:dyDescent="0.25">
      <c r="A58" s="114"/>
      <c r="B58" s="871"/>
      <c r="C58" s="861"/>
      <c r="D58" s="1049" t="s">
        <v>53</v>
      </c>
      <c r="E58" s="1035" t="s">
        <v>53</v>
      </c>
      <c r="F58" s="869"/>
      <c r="G58" s="166" t="str">
        <f t="shared" si="2"/>
        <v>No</v>
      </c>
      <c r="H58" s="114" t="str">
        <f t="shared" si="3"/>
        <v/>
      </c>
      <c r="I58" s="114"/>
      <c r="J58" s="114"/>
      <c r="K58" s="114"/>
      <c r="L58" s="114"/>
      <c r="M58" s="114"/>
      <c r="N58" s="114"/>
      <c r="P58" s="899" t="str">
        <f t="shared" si="1"/>
        <v/>
      </c>
    </row>
    <row r="59" spans="1:16" x14ac:dyDescent="0.25">
      <c r="A59" s="114"/>
      <c r="B59" s="871"/>
      <c r="C59" s="861"/>
      <c r="D59" s="1049" t="s">
        <v>53</v>
      </c>
      <c r="E59" s="1035" t="s">
        <v>53</v>
      </c>
      <c r="F59" s="869"/>
      <c r="G59" s="166" t="str">
        <f t="shared" si="2"/>
        <v>No</v>
      </c>
      <c r="H59" s="114" t="str">
        <f t="shared" si="3"/>
        <v/>
      </c>
      <c r="I59" s="114"/>
      <c r="J59" s="114"/>
      <c r="K59" s="114"/>
      <c r="L59" s="114"/>
      <c r="M59" s="114"/>
      <c r="N59" s="114"/>
      <c r="P59" s="899" t="str">
        <f t="shared" si="1"/>
        <v/>
      </c>
    </row>
    <row r="60" spans="1:16" x14ac:dyDescent="0.25">
      <c r="A60" s="114"/>
      <c r="B60" s="871"/>
      <c r="C60" s="861"/>
      <c r="D60" s="1049" t="s">
        <v>53</v>
      </c>
      <c r="E60" s="1035" t="s">
        <v>53</v>
      </c>
      <c r="F60" s="869"/>
      <c r="G60" s="166" t="str">
        <f t="shared" si="2"/>
        <v>No</v>
      </c>
      <c r="H60" s="114" t="str">
        <f t="shared" si="3"/>
        <v/>
      </c>
      <c r="I60" s="114"/>
      <c r="J60" s="114"/>
      <c r="K60" s="114"/>
      <c r="L60" s="114"/>
      <c r="M60" s="114"/>
      <c r="N60" s="114"/>
      <c r="P60" s="899" t="str">
        <f t="shared" si="1"/>
        <v/>
      </c>
    </row>
    <row r="61" spans="1:16" x14ac:dyDescent="0.25">
      <c r="A61" s="114"/>
      <c r="B61" s="871"/>
      <c r="C61" s="861"/>
      <c r="D61" s="1049" t="s">
        <v>53</v>
      </c>
      <c r="E61" s="1035" t="s">
        <v>53</v>
      </c>
      <c r="F61" s="869"/>
      <c r="G61" s="166" t="str">
        <f t="shared" si="2"/>
        <v>No</v>
      </c>
      <c r="H61" s="114" t="str">
        <f t="shared" si="3"/>
        <v/>
      </c>
      <c r="I61" s="114"/>
      <c r="J61" s="114"/>
      <c r="K61" s="114"/>
      <c r="L61" s="114"/>
      <c r="M61" s="114"/>
      <c r="N61" s="114"/>
      <c r="P61" s="899" t="str">
        <f t="shared" si="1"/>
        <v/>
      </c>
    </row>
    <row r="62" spans="1:16" x14ac:dyDescent="0.25">
      <c r="A62" s="114"/>
      <c r="B62" s="871"/>
      <c r="C62" s="861"/>
      <c r="D62" s="1049" t="s">
        <v>53</v>
      </c>
      <c r="E62" s="1035" t="s">
        <v>53</v>
      </c>
      <c r="F62" s="869"/>
      <c r="G62" s="166" t="str">
        <f t="shared" si="2"/>
        <v>No</v>
      </c>
      <c r="H62" s="114" t="str">
        <f t="shared" si="3"/>
        <v/>
      </c>
      <c r="I62" s="114"/>
      <c r="J62" s="114"/>
      <c r="K62" s="114"/>
      <c r="L62" s="114"/>
      <c r="M62" s="114"/>
      <c r="N62" s="114"/>
      <c r="P62" s="899" t="str">
        <f t="shared" si="1"/>
        <v/>
      </c>
    </row>
    <row r="63" spans="1:16" x14ac:dyDescent="0.25">
      <c r="A63" s="114"/>
      <c r="B63" s="871"/>
      <c r="C63" s="861"/>
      <c r="D63" s="1049" t="s">
        <v>53</v>
      </c>
      <c r="E63" s="1035" t="s">
        <v>53</v>
      </c>
      <c r="F63" s="869"/>
      <c r="G63" s="166" t="str">
        <f t="shared" si="2"/>
        <v>No</v>
      </c>
      <c r="H63" s="114" t="str">
        <f t="shared" si="3"/>
        <v/>
      </c>
      <c r="I63" s="114"/>
      <c r="J63" s="114"/>
      <c r="K63" s="114"/>
      <c r="L63" s="114"/>
      <c r="M63" s="114"/>
      <c r="N63" s="114"/>
      <c r="P63" s="899" t="str">
        <f t="shared" si="1"/>
        <v/>
      </c>
    </row>
    <row r="64" spans="1:16" ht="16.5" customHeight="1" x14ac:dyDescent="0.25">
      <c r="A64" s="114"/>
      <c r="B64" s="114"/>
      <c r="C64" s="114"/>
      <c r="D64" s="114"/>
      <c r="E64" s="114"/>
      <c r="F64" s="114"/>
      <c r="G64" s="114"/>
      <c r="H64" s="114"/>
      <c r="I64" s="114"/>
      <c r="J64" s="114"/>
      <c r="K64" s="114"/>
      <c r="L64" s="114"/>
      <c r="M64" s="114"/>
      <c r="N64" s="114"/>
    </row>
    <row r="65" spans="1:18" ht="19.5" customHeight="1" x14ac:dyDescent="0.25">
      <c r="A65" s="114"/>
      <c r="B65" s="1666" t="s">
        <v>1724</v>
      </c>
      <c r="C65" s="1666"/>
      <c r="D65" s="1666"/>
      <c r="E65" s="1666"/>
      <c r="F65" s="127">
        <f>IFERROR(SUMIF(G44:G63,"Yes",C44:C63)/SUM(C44:C63),0)</f>
        <v>0</v>
      </c>
      <c r="G65" s="114"/>
      <c r="H65" s="114"/>
      <c r="I65" s="114"/>
      <c r="J65" s="114"/>
      <c r="K65" s="114"/>
      <c r="L65" s="114"/>
      <c r="M65" s="114"/>
      <c r="N65" s="114"/>
    </row>
    <row r="66" spans="1:18" ht="18" customHeight="1" x14ac:dyDescent="0.25">
      <c r="A66" s="114"/>
      <c r="B66" s="114"/>
      <c r="C66" s="114"/>
      <c r="D66" s="114"/>
      <c r="E66" s="114"/>
      <c r="F66" s="114"/>
      <c r="G66" s="114"/>
      <c r="H66" s="114"/>
      <c r="I66" s="114"/>
      <c r="J66" s="114"/>
      <c r="K66" s="114"/>
      <c r="L66" s="114"/>
      <c r="M66" s="114"/>
      <c r="N66" s="114"/>
    </row>
    <row r="67" spans="1:18" s="35" customFormat="1" ht="16.5" customHeight="1" x14ac:dyDescent="0.25">
      <c r="A67" s="1688" t="s">
        <v>84</v>
      </c>
      <c r="B67" s="1688"/>
      <c r="C67" s="1688"/>
      <c r="D67" s="114"/>
      <c r="E67" s="114"/>
      <c r="F67" s="114"/>
      <c r="G67" s="114"/>
      <c r="H67" s="114"/>
      <c r="I67" s="114"/>
      <c r="J67" s="114"/>
      <c r="K67" s="114"/>
      <c r="L67" s="114"/>
      <c r="M67" s="114"/>
      <c r="N67" s="114"/>
    </row>
    <row r="68" spans="1:18" s="35" customFormat="1" x14ac:dyDescent="0.25">
      <c r="A68" s="114"/>
      <c r="B68" s="114"/>
      <c r="C68" s="114"/>
      <c r="D68" s="114"/>
      <c r="E68" s="114"/>
      <c r="F68" s="114"/>
      <c r="G68" s="114"/>
      <c r="H68" s="114"/>
      <c r="I68" s="114"/>
      <c r="J68" s="114"/>
      <c r="K68" s="114"/>
      <c r="L68" s="114"/>
      <c r="M68" s="114"/>
      <c r="N68" s="114"/>
    </row>
    <row r="69" spans="1:18" s="35" customFormat="1" ht="21" customHeight="1" x14ac:dyDescent="0.25">
      <c r="A69" s="114"/>
      <c r="B69" s="1641" t="s">
        <v>1530</v>
      </c>
      <c r="C69" s="1642"/>
      <c r="D69" s="1642"/>
      <c r="E69" s="1642"/>
      <c r="F69" s="1642"/>
      <c r="G69" s="870" t="s">
        <v>907</v>
      </c>
      <c r="H69" s="1638" t="s">
        <v>908</v>
      </c>
      <c r="I69" s="1639"/>
      <c r="J69" s="114"/>
      <c r="K69" s="114"/>
      <c r="L69" s="114"/>
      <c r="M69" s="114"/>
      <c r="N69" s="114"/>
    </row>
    <row r="70" spans="1:18" s="35" customFormat="1" ht="30" customHeight="1" x14ac:dyDescent="0.25">
      <c r="A70" s="114"/>
      <c r="B70" s="1648" t="str">
        <f>Submittals!G2</f>
        <v>• Evidence showing the occupied spaces that are not served by any air-conditioning system such as photographs, plans, etc.</v>
      </c>
      <c r="C70" s="1649"/>
      <c r="D70" s="1649"/>
      <c r="E70" s="1649"/>
      <c r="F70" s="1650"/>
      <c r="G70" s="871" t="s">
        <v>53</v>
      </c>
      <c r="H70" s="1651"/>
      <c r="I70" s="1652"/>
      <c r="J70" s="114"/>
      <c r="K70" s="114"/>
      <c r="L70" s="114"/>
      <c r="M70" s="114"/>
      <c r="N70" s="114"/>
    </row>
    <row r="71" spans="1:18" s="35" customFormat="1" ht="24" customHeight="1" x14ac:dyDescent="0.25">
      <c r="A71" s="114"/>
      <c r="B71" s="1648" t="str">
        <f>Submittals!G4</f>
        <v>• For occupied spaces with cross ventilation, provide evidence required in Performance Path.</v>
      </c>
      <c r="C71" s="1649"/>
      <c r="D71" s="1649"/>
      <c r="E71" s="1649"/>
      <c r="F71" s="1650"/>
      <c r="G71" s="871" t="s">
        <v>53</v>
      </c>
      <c r="H71" s="1651"/>
      <c r="I71" s="1652"/>
      <c r="J71" s="114"/>
      <c r="K71" s="114"/>
      <c r="L71" s="114"/>
      <c r="M71" s="114"/>
      <c r="N71" s="114"/>
    </row>
    <row r="72" spans="1:18" s="35" customFormat="1" ht="24" customHeight="1" x14ac:dyDescent="0.25">
      <c r="A72" s="114"/>
      <c r="B72" s="1648" t="str">
        <f>Submittals!G5</f>
        <v>• Plans, elevations and sections marking all operable wall and roof openings</v>
      </c>
      <c r="C72" s="1649"/>
      <c r="D72" s="1649"/>
      <c r="E72" s="1649"/>
      <c r="F72" s="1650"/>
      <c r="G72" s="1033" t="s">
        <v>53</v>
      </c>
      <c r="H72" s="1651"/>
      <c r="I72" s="1652"/>
      <c r="J72" s="114"/>
      <c r="K72" s="114"/>
      <c r="L72" s="114"/>
      <c r="M72" s="114"/>
      <c r="N72" s="114"/>
    </row>
    <row r="73" spans="1:18" s="35" customFormat="1" ht="18" customHeight="1" x14ac:dyDescent="0.25">
      <c r="A73" s="114"/>
      <c r="B73" s="114"/>
      <c r="C73" s="114"/>
      <c r="D73" s="114"/>
      <c r="E73" s="114"/>
      <c r="F73" s="114"/>
      <c r="G73" s="114"/>
      <c r="H73" s="114"/>
      <c r="I73" s="114"/>
      <c r="J73" s="114"/>
      <c r="K73" s="114"/>
      <c r="L73" s="114"/>
      <c r="M73" s="114"/>
      <c r="N73" s="114"/>
    </row>
    <row r="74" spans="1:18" ht="16.5" customHeight="1" x14ac:dyDescent="0.25">
      <c r="A74" s="1688" t="s">
        <v>5</v>
      </c>
      <c r="B74" s="1688"/>
      <c r="C74" s="1688"/>
      <c r="D74" s="114"/>
      <c r="E74" s="114"/>
      <c r="F74" s="114"/>
      <c r="G74" s="114"/>
      <c r="H74" s="114"/>
      <c r="I74" s="114"/>
      <c r="J74" s="114"/>
      <c r="K74" s="114"/>
      <c r="L74" s="114"/>
      <c r="M74" s="114"/>
      <c r="N74" s="114"/>
      <c r="O74" s="35"/>
      <c r="P74" s="35"/>
      <c r="Q74" s="35"/>
      <c r="R74" s="35"/>
    </row>
    <row r="75" spans="1:18" ht="14.25" customHeight="1" x14ac:dyDescent="0.25">
      <c r="A75" s="114"/>
      <c r="B75" s="114"/>
      <c r="C75" s="114"/>
      <c r="D75" s="114"/>
      <c r="E75" s="114"/>
      <c r="F75" s="114"/>
      <c r="G75" s="114"/>
      <c r="H75" s="114"/>
      <c r="I75" s="114"/>
      <c r="J75" s="114"/>
      <c r="K75" s="114"/>
      <c r="L75" s="114"/>
      <c r="M75" s="114"/>
      <c r="N75" s="114"/>
      <c r="O75" s="35"/>
      <c r="P75" s="35"/>
      <c r="Q75" s="35"/>
      <c r="R75" s="35"/>
    </row>
    <row r="76" spans="1:18" ht="18" customHeight="1" x14ac:dyDescent="0.25">
      <c r="A76" s="114"/>
      <c r="B76" s="102" t="s">
        <v>16</v>
      </c>
      <c r="C76" s="8" t="str">
        <f>IF(D28="Prescriptive Path",IFERROR(IF(F65=1,6,IF(F65&gt;=0.7,4,IF(F65&gt;=0.55,3,IF(F65&gt;=0.4,2,IF(F65&gt;=0.25,2,IF(F65&gt;=0.1,1,0)))))),""),"")</f>
        <v/>
      </c>
      <c r="D76" s="114"/>
      <c r="E76" s="114"/>
      <c r="F76" s="114"/>
      <c r="G76" s="114"/>
      <c r="H76" s="114"/>
      <c r="I76" s="114"/>
      <c r="J76" s="114"/>
      <c r="K76" s="114"/>
      <c r="L76" s="114"/>
      <c r="M76" s="114"/>
      <c r="N76" s="114"/>
      <c r="O76" s="35"/>
      <c r="P76" s="35"/>
      <c r="Q76" s="35"/>
      <c r="R76" s="35"/>
    </row>
    <row r="77" spans="1:18" ht="18" customHeight="1" x14ac:dyDescent="0.25">
      <c r="A77" s="114"/>
      <c r="B77" s="102" t="s">
        <v>133</v>
      </c>
      <c r="C77" s="8" t="str">
        <f>IF(D28="Prescriptive Path",IF(C76&gt;0,IF(COUNTIF(G70:G71,"Submitted")&lt;2,"No","Yes"),"No"),"")</f>
        <v/>
      </c>
      <c r="D77" s="114"/>
      <c r="E77" s="114"/>
      <c r="F77" s="114"/>
      <c r="G77" s="114"/>
      <c r="H77" s="114"/>
      <c r="I77" s="114"/>
      <c r="J77" s="114"/>
      <c r="K77" s="114"/>
      <c r="L77" s="114"/>
      <c r="M77" s="114"/>
      <c r="N77" s="114"/>
      <c r="O77" s="35"/>
      <c r="P77" s="35"/>
      <c r="Q77" s="35"/>
      <c r="R77" s="35"/>
    </row>
    <row r="78" spans="1:18" ht="20.25" customHeight="1" x14ac:dyDescent="0.25">
      <c r="A78" s="114"/>
      <c r="B78" s="114"/>
      <c r="C78" s="114"/>
      <c r="D78" s="114"/>
      <c r="E78" s="114"/>
      <c r="F78" s="114"/>
      <c r="G78" s="114"/>
      <c r="H78" s="114"/>
      <c r="I78" s="114"/>
      <c r="J78" s="114"/>
      <c r="K78" s="114"/>
      <c r="L78" s="114"/>
      <c r="M78" s="114"/>
      <c r="N78" s="114"/>
      <c r="O78" s="35"/>
      <c r="P78" s="35"/>
      <c r="Q78" s="35"/>
      <c r="R78" s="35"/>
    </row>
    <row r="79" spans="1:18" ht="18" customHeight="1" x14ac:dyDescent="0.25">
      <c r="A79" s="1667" t="s">
        <v>1535</v>
      </c>
      <c r="B79" s="1667"/>
      <c r="C79" s="1667"/>
      <c r="D79" s="1667"/>
      <c r="E79" s="1667"/>
      <c r="F79" s="1667"/>
      <c r="G79" s="1667"/>
      <c r="H79" s="1667"/>
      <c r="I79" s="1667"/>
      <c r="J79" s="1667"/>
      <c r="K79" s="1667"/>
      <c r="L79" s="1667"/>
      <c r="M79" s="1667"/>
      <c r="N79" s="1667"/>
    </row>
    <row r="80" spans="1:18" ht="15" customHeight="1" x14ac:dyDescent="0.25">
      <c r="A80" s="115"/>
      <c r="B80" s="115"/>
      <c r="C80" s="115"/>
      <c r="D80" s="115"/>
      <c r="E80" s="115"/>
      <c r="F80" s="115"/>
      <c r="G80" s="115"/>
      <c r="H80" s="115"/>
      <c r="I80" s="115"/>
      <c r="J80" s="115"/>
      <c r="K80" s="115"/>
      <c r="L80" s="115"/>
      <c r="M80" s="115"/>
      <c r="N80" s="115"/>
    </row>
    <row r="81" spans="1:14" ht="16.5" customHeight="1" x14ac:dyDescent="0.25">
      <c r="A81" s="159" t="s">
        <v>102</v>
      </c>
      <c r="B81" s="71"/>
      <c r="C81" s="71"/>
      <c r="D81" s="115"/>
      <c r="E81" s="115"/>
      <c r="F81" s="115"/>
      <c r="G81" s="115"/>
      <c r="H81" s="115"/>
      <c r="I81" s="115"/>
      <c r="J81" s="115"/>
      <c r="K81" s="115"/>
      <c r="L81" s="115"/>
      <c r="M81" s="115"/>
      <c r="N81" s="115"/>
    </row>
    <row r="82" spans="1:14" x14ac:dyDescent="0.25">
      <c r="A82" s="115"/>
      <c r="B82" s="115"/>
      <c r="C82" s="115"/>
      <c r="D82" s="115"/>
      <c r="E82" s="115"/>
      <c r="F82" s="115"/>
      <c r="G82" s="115"/>
      <c r="H82" s="115"/>
      <c r="I82" s="115"/>
      <c r="J82" s="115"/>
      <c r="K82" s="115"/>
      <c r="L82" s="115"/>
      <c r="M82" s="115"/>
      <c r="N82" s="115"/>
    </row>
    <row r="83" spans="1:14" x14ac:dyDescent="0.25">
      <c r="A83" s="115"/>
      <c r="B83" s="906" t="s">
        <v>926</v>
      </c>
      <c r="C83" s="115"/>
      <c r="D83" s="115"/>
      <c r="E83" s="115"/>
      <c r="F83" s="115"/>
      <c r="G83" s="115"/>
      <c r="H83" s="115"/>
      <c r="I83" s="115"/>
      <c r="J83" s="115"/>
      <c r="K83" s="115"/>
      <c r="L83" s="115"/>
      <c r="M83" s="115"/>
      <c r="N83" s="115"/>
    </row>
    <row r="84" spans="1:14" ht="18" customHeight="1" x14ac:dyDescent="0.25">
      <c r="A84" s="115"/>
      <c r="B84" s="907"/>
      <c r="C84" s="907"/>
      <c r="D84" s="907"/>
      <c r="E84" s="907"/>
      <c r="F84" s="907"/>
      <c r="G84" s="907"/>
      <c r="H84" s="907"/>
      <c r="I84" s="907"/>
      <c r="J84" s="907"/>
      <c r="K84" s="907"/>
      <c r="L84" s="115"/>
      <c r="M84" s="115"/>
      <c r="N84" s="115"/>
    </row>
    <row r="85" spans="1:14" ht="18" customHeight="1" x14ac:dyDescent="0.25">
      <c r="A85" s="115"/>
      <c r="B85" s="1291" t="s">
        <v>1231</v>
      </c>
      <c r="C85" s="415"/>
      <c r="D85" s="415"/>
      <c r="E85" s="415"/>
      <c r="F85" s="415"/>
      <c r="G85" s="415"/>
      <c r="H85" s="415"/>
      <c r="I85" s="415"/>
      <c r="J85" s="415"/>
      <c r="K85" s="416"/>
      <c r="L85" s="115"/>
      <c r="M85" s="115"/>
      <c r="N85" s="115"/>
    </row>
    <row r="86" spans="1:14" ht="27" customHeight="1" x14ac:dyDescent="0.25">
      <c r="A86" s="115"/>
      <c r="B86" s="1643" t="s">
        <v>2475</v>
      </c>
      <c r="C86" s="1644"/>
      <c r="D86" s="1644"/>
      <c r="E86" s="1644"/>
      <c r="F86" s="1644"/>
      <c r="G86" s="1644"/>
      <c r="H86" s="1644"/>
      <c r="I86" s="1644"/>
      <c r="J86" s="1644"/>
      <c r="K86" s="1645"/>
      <c r="L86" s="115"/>
      <c r="M86" s="115"/>
      <c r="N86" s="115"/>
    </row>
    <row r="87" spans="1:14" ht="27" customHeight="1" x14ac:dyDescent="0.25">
      <c r="A87" s="115"/>
      <c r="B87" s="1643" t="s">
        <v>1232</v>
      </c>
      <c r="C87" s="1644"/>
      <c r="D87" s="1644"/>
      <c r="E87" s="1644"/>
      <c r="F87" s="1644"/>
      <c r="G87" s="1644"/>
      <c r="H87" s="1644"/>
      <c r="I87" s="1644"/>
      <c r="J87" s="1644"/>
      <c r="K87" s="1645"/>
      <c r="L87" s="115"/>
      <c r="M87" s="115"/>
      <c r="N87" s="115"/>
    </row>
    <row r="88" spans="1:14" ht="16.5" customHeight="1" x14ac:dyDescent="0.25">
      <c r="A88" s="115"/>
      <c r="B88" s="1643" t="s">
        <v>1233</v>
      </c>
      <c r="C88" s="1644"/>
      <c r="D88" s="1644"/>
      <c r="E88" s="1644"/>
      <c r="F88" s="1644"/>
      <c r="G88" s="1644"/>
      <c r="H88" s="1644"/>
      <c r="I88" s="1644"/>
      <c r="J88" s="1644"/>
      <c r="K88" s="1645"/>
      <c r="L88" s="115"/>
      <c r="M88" s="115"/>
      <c r="N88" s="115"/>
    </row>
    <row r="89" spans="1:14" ht="16.5" customHeight="1" x14ac:dyDescent="0.25">
      <c r="A89" s="115"/>
      <c r="B89" s="1643" t="s">
        <v>1234</v>
      </c>
      <c r="C89" s="1644"/>
      <c r="D89" s="1644"/>
      <c r="E89" s="1644"/>
      <c r="F89" s="1644"/>
      <c r="G89" s="1644"/>
      <c r="H89" s="1644"/>
      <c r="I89" s="1644"/>
      <c r="J89" s="1644"/>
      <c r="K89" s="1645"/>
      <c r="L89" s="115"/>
      <c r="M89" s="115"/>
      <c r="N89" s="115"/>
    </row>
    <row r="90" spans="1:14" ht="16.5" customHeight="1" x14ac:dyDescent="0.25">
      <c r="A90" s="115"/>
      <c r="B90" s="1643" t="s">
        <v>1235</v>
      </c>
      <c r="C90" s="1644"/>
      <c r="D90" s="1644"/>
      <c r="E90" s="1644"/>
      <c r="F90" s="1644"/>
      <c r="G90" s="1644"/>
      <c r="H90" s="1644"/>
      <c r="I90" s="1644"/>
      <c r="J90" s="1644"/>
      <c r="K90" s="1645"/>
      <c r="L90" s="115"/>
      <c r="M90" s="115"/>
      <c r="N90" s="115"/>
    </row>
    <row r="91" spans="1:14" ht="16.5" customHeight="1" x14ac:dyDescent="0.25">
      <c r="A91" s="115"/>
      <c r="B91" s="1682" t="s">
        <v>1236</v>
      </c>
      <c r="C91" s="1683"/>
      <c r="D91" s="1683"/>
      <c r="E91" s="1683"/>
      <c r="F91" s="1683"/>
      <c r="G91" s="1683"/>
      <c r="H91" s="1683"/>
      <c r="I91" s="1683"/>
      <c r="J91" s="1683"/>
      <c r="K91" s="1684"/>
      <c r="L91" s="115"/>
      <c r="M91" s="115"/>
      <c r="N91" s="115"/>
    </row>
    <row r="92" spans="1:14" ht="12" customHeight="1" x14ac:dyDescent="0.25">
      <c r="A92" s="115"/>
      <c r="B92" s="115"/>
      <c r="C92" s="115"/>
      <c r="D92" s="115"/>
      <c r="E92" s="115"/>
      <c r="F92" s="115"/>
      <c r="G92" s="115"/>
      <c r="H92" s="115"/>
      <c r="I92" s="115"/>
      <c r="J92" s="115"/>
      <c r="K92" s="115"/>
      <c r="L92" s="115"/>
      <c r="M92" s="115"/>
      <c r="N92" s="115"/>
    </row>
    <row r="93" spans="1:14" ht="17.25" customHeight="1" x14ac:dyDescent="0.25">
      <c r="A93" s="115"/>
      <c r="B93" s="1746" t="s">
        <v>1519</v>
      </c>
      <c r="C93" s="1747"/>
      <c r="D93" s="1747"/>
      <c r="E93" s="1747"/>
      <c r="F93" s="1747"/>
      <c r="G93" s="1747"/>
      <c r="H93" s="1747"/>
      <c r="I93" s="1747"/>
      <c r="J93" s="1747"/>
      <c r="K93" s="1748"/>
      <c r="L93" s="115"/>
      <c r="M93" s="115"/>
      <c r="N93" s="115"/>
    </row>
    <row r="94" spans="1:14" ht="30" customHeight="1" x14ac:dyDescent="0.25">
      <c r="A94" s="115"/>
      <c r="B94" s="1685" t="s">
        <v>1520</v>
      </c>
      <c r="C94" s="1686"/>
      <c r="D94" s="1686"/>
      <c r="E94" s="1686"/>
      <c r="F94" s="1686"/>
      <c r="G94" s="1686"/>
      <c r="H94" s="1686"/>
      <c r="I94" s="1686"/>
      <c r="J94" s="1686"/>
      <c r="K94" s="1687"/>
      <c r="L94" s="115"/>
      <c r="M94" s="115"/>
      <c r="N94" s="115"/>
    </row>
    <row r="95" spans="1:14" ht="30" customHeight="1" x14ac:dyDescent="0.25">
      <c r="A95" s="115"/>
      <c r="B95" s="1693" t="s">
        <v>1521</v>
      </c>
      <c r="C95" s="1694"/>
      <c r="D95" s="1694"/>
      <c r="E95" s="1694"/>
      <c r="F95" s="1694"/>
      <c r="G95" s="1694"/>
      <c r="H95" s="1694"/>
      <c r="I95" s="1694"/>
      <c r="J95" s="1694"/>
      <c r="K95" s="1695"/>
      <c r="L95" s="115"/>
      <c r="M95" s="115"/>
      <c r="N95" s="115"/>
    </row>
    <row r="96" spans="1:14" ht="19.5" customHeight="1" x14ac:dyDescent="0.25">
      <c r="A96" s="115"/>
      <c r="B96" s="905"/>
      <c r="C96" s="905"/>
      <c r="D96" s="905"/>
      <c r="E96" s="905"/>
      <c r="F96" s="115"/>
      <c r="G96" s="115"/>
      <c r="H96" s="115"/>
      <c r="I96" s="115"/>
      <c r="J96" s="115"/>
      <c r="K96" s="115"/>
      <c r="L96" s="115"/>
      <c r="M96" s="115"/>
      <c r="N96" s="115"/>
    </row>
    <row r="97" spans="1:18" x14ac:dyDescent="0.25">
      <c r="A97" s="115"/>
      <c r="B97" s="574" t="s">
        <v>1189</v>
      </c>
      <c r="C97" s="905"/>
      <c r="D97" s="905"/>
      <c r="E97" s="905"/>
      <c r="F97" s="115"/>
      <c r="G97" s="115"/>
      <c r="H97" s="115"/>
      <c r="I97" s="115"/>
      <c r="J97" s="115"/>
      <c r="K97" s="115"/>
      <c r="L97" s="115"/>
      <c r="M97" s="115"/>
      <c r="N97" s="115"/>
    </row>
    <row r="98" spans="1:18" x14ac:dyDescent="0.25">
      <c r="A98" s="115"/>
      <c r="B98" s="905"/>
      <c r="C98" s="905"/>
      <c r="D98" s="905"/>
      <c r="E98" s="905"/>
      <c r="F98" s="115"/>
      <c r="G98" s="115"/>
      <c r="H98" s="115"/>
      <c r="I98" s="115"/>
      <c r="J98" s="115"/>
      <c r="K98" s="115"/>
      <c r="L98" s="115"/>
      <c r="M98" s="115"/>
      <c r="N98" s="115"/>
    </row>
    <row r="99" spans="1:18" ht="18" customHeight="1" x14ac:dyDescent="0.25">
      <c r="A99" s="115"/>
      <c r="B99" s="1648" t="s">
        <v>1188</v>
      </c>
      <c r="C99" s="1649"/>
      <c r="D99" s="1649"/>
      <c r="E99" s="700" t="s">
        <v>53</v>
      </c>
      <c r="F99" s="115"/>
      <c r="G99" s="115"/>
      <c r="H99" s="115"/>
      <c r="I99" s="115"/>
      <c r="J99" s="115"/>
      <c r="K99" s="115"/>
      <c r="L99" s="115"/>
      <c r="M99" s="115"/>
      <c r="N99" s="115"/>
    </row>
    <row r="100" spans="1:18" ht="14.25" customHeight="1" x14ac:dyDescent="0.25">
      <c r="A100" s="115"/>
      <c r="B100" s="115"/>
      <c r="C100" s="115"/>
      <c r="D100" s="115"/>
      <c r="E100" s="115"/>
      <c r="F100" s="115"/>
      <c r="G100" s="115"/>
      <c r="H100" s="115"/>
      <c r="I100" s="115"/>
      <c r="J100" s="115"/>
      <c r="K100" s="115"/>
      <c r="L100" s="115"/>
      <c r="M100" s="115"/>
      <c r="N100" s="115"/>
    </row>
    <row r="101" spans="1:18" ht="39.75" x14ac:dyDescent="0.25">
      <c r="A101" s="115"/>
      <c r="B101" s="590" t="s">
        <v>517</v>
      </c>
      <c r="C101" s="591" t="s">
        <v>459</v>
      </c>
      <c r="D101" s="591" t="s">
        <v>143</v>
      </c>
      <c r="E101" s="591" t="s">
        <v>1190</v>
      </c>
      <c r="F101" s="698" t="s">
        <v>1191</v>
      </c>
      <c r="G101" s="591" t="s">
        <v>1196</v>
      </c>
      <c r="H101" s="698" t="s">
        <v>1194</v>
      </c>
      <c r="I101" s="591" t="s">
        <v>1195</v>
      </c>
      <c r="J101" s="591" t="s">
        <v>1197</v>
      </c>
      <c r="K101" s="1665" t="s">
        <v>850</v>
      </c>
      <c r="L101" s="1665"/>
      <c r="M101" s="115"/>
      <c r="N101" s="115"/>
      <c r="P101" s="698" t="s">
        <v>1192</v>
      </c>
      <c r="Q101" s="698" t="s">
        <v>1193</v>
      </c>
      <c r="R101" s="698" t="s">
        <v>1198</v>
      </c>
    </row>
    <row r="102" spans="1:18" x14ac:dyDescent="0.25">
      <c r="A102" s="115"/>
      <c r="B102" s="589"/>
      <c r="C102" s="594"/>
      <c r="D102" s="594"/>
      <c r="E102" s="703"/>
      <c r="F102" s="699"/>
      <c r="G102" s="592" t="s">
        <v>53</v>
      </c>
      <c r="H102" s="697" t="s">
        <v>53</v>
      </c>
      <c r="I102" s="594"/>
      <c r="J102" s="442" t="s">
        <v>53</v>
      </c>
      <c r="K102" s="1655" t="str">
        <f>IF(OR(C102&lt;&gt;"",B102&lt;&gt;""),R102,"")</f>
        <v/>
      </c>
      <c r="L102" s="1655"/>
      <c r="M102" s="115"/>
      <c r="N102" s="115"/>
      <c r="P102" t="str">
        <f>IF(C102="","No",IF(E102&gt;=0.05*C102,"Yes","No"))</f>
        <v>No</v>
      </c>
      <c r="Q102" t="str">
        <f>IF(F102&gt;=E102,"Yes","No")</f>
        <v>Yes</v>
      </c>
      <c r="R102" t="str">
        <f>IF($E$99="Yes",IF(AND(C102&lt;&gt;"",E102+F102&gt;=0.04*C102),"Yes","No"),IF(AND(P102="Yes",Q102="Yes",G102="Yes",H102="Yes",I102&lt;&gt;"",I102&lt;=15),"Yes",IF(J102="Yes","Yes","No")))</f>
        <v>No</v>
      </c>
    </row>
    <row r="103" spans="1:18" x14ac:dyDescent="0.25">
      <c r="A103" s="115"/>
      <c r="B103" s="700"/>
      <c r="C103" s="703"/>
      <c r="D103" s="703"/>
      <c r="E103" s="703"/>
      <c r="F103" s="699"/>
      <c r="G103" s="697" t="s">
        <v>53</v>
      </c>
      <c r="H103" s="697" t="s">
        <v>53</v>
      </c>
      <c r="I103" s="703"/>
      <c r="J103" s="442" t="s">
        <v>53</v>
      </c>
      <c r="K103" s="1655" t="str">
        <f t="shared" ref="K103:K121" si="7">IF(OR(C103&lt;&gt;"",B103&lt;&gt;""),R103,"")</f>
        <v/>
      </c>
      <c r="L103" s="1655"/>
      <c r="M103" s="115"/>
      <c r="N103" s="115"/>
      <c r="P103" t="str">
        <f t="shared" ref="P103:P121" si="8">IF(C103="","No",IF(E103&gt;=0.05*C103,"Yes","No"))</f>
        <v>No</v>
      </c>
      <c r="Q103" t="str">
        <f t="shared" ref="Q103:Q121" si="9">IF(F103&gt;=E103,"Yes","No")</f>
        <v>Yes</v>
      </c>
      <c r="R103" t="str">
        <f t="shared" ref="R103:R121" si="10">IF($E$99="Yes",IF(AND(C103&lt;&gt;"",E103+F103&gt;=0.04*C103),"Yes","No"),IF(AND(P103="Yes",Q103="Yes",G103="Yes",H103="Yes",I103&lt;&gt;"",I103&lt;=15),"Yes",IF(J103="Yes","Yes","No")))</f>
        <v>No</v>
      </c>
    </row>
    <row r="104" spans="1:18" x14ac:dyDescent="0.25">
      <c r="A104" s="115"/>
      <c r="B104" s="700"/>
      <c r="C104" s="703"/>
      <c r="D104" s="703"/>
      <c r="E104" s="703"/>
      <c r="F104" s="699"/>
      <c r="G104" s="697" t="s">
        <v>53</v>
      </c>
      <c r="H104" s="697" t="s">
        <v>53</v>
      </c>
      <c r="I104" s="703"/>
      <c r="J104" s="442" t="s">
        <v>53</v>
      </c>
      <c r="K104" s="1655" t="str">
        <f t="shared" si="7"/>
        <v/>
      </c>
      <c r="L104" s="1655"/>
      <c r="M104" s="115"/>
      <c r="N104" s="115"/>
      <c r="P104" t="str">
        <f t="shared" si="8"/>
        <v>No</v>
      </c>
      <c r="Q104" t="str">
        <f t="shared" si="9"/>
        <v>Yes</v>
      </c>
      <c r="R104" t="str">
        <f t="shared" si="10"/>
        <v>No</v>
      </c>
    </row>
    <row r="105" spans="1:18" x14ac:dyDescent="0.25">
      <c r="A105" s="115"/>
      <c r="B105" s="700"/>
      <c r="C105" s="703"/>
      <c r="D105" s="703"/>
      <c r="E105" s="703"/>
      <c r="F105" s="699"/>
      <c r="G105" s="697" t="s">
        <v>53</v>
      </c>
      <c r="H105" s="697" t="s">
        <v>53</v>
      </c>
      <c r="I105" s="703"/>
      <c r="J105" s="442" t="s">
        <v>53</v>
      </c>
      <c r="K105" s="1655" t="str">
        <f t="shared" si="7"/>
        <v/>
      </c>
      <c r="L105" s="1655"/>
      <c r="M105" s="115"/>
      <c r="N105" s="115"/>
      <c r="P105" t="str">
        <f t="shared" si="8"/>
        <v>No</v>
      </c>
      <c r="Q105" t="str">
        <f t="shared" si="9"/>
        <v>Yes</v>
      </c>
      <c r="R105" t="str">
        <f t="shared" si="10"/>
        <v>No</v>
      </c>
    </row>
    <row r="106" spans="1:18" x14ac:dyDescent="0.25">
      <c r="A106" s="115"/>
      <c r="B106" s="1189"/>
      <c r="C106" s="1190"/>
      <c r="D106" s="1190"/>
      <c r="E106" s="1190"/>
      <c r="F106" s="1188"/>
      <c r="G106" s="1187" t="s">
        <v>53</v>
      </c>
      <c r="H106" s="1187" t="s">
        <v>53</v>
      </c>
      <c r="I106" s="1190"/>
      <c r="J106" s="1014" t="s">
        <v>53</v>
      </c>
      <c r="K106" s="1655" t="str">
        <f t="shared" ref="K106:K110" si="11">IF(OR(C106&lt;&gt;"",B106&lt;&gt;""),R106,"")</f>
        <v/>
      </c>
      <c r="L106" s="1655"/>
      <c r="M106" s="115"/>
      <c r="N106" s="115"/>
      <c r="P106" t="str">
        <f t="shared" si="8"/>
        <v>No</v>
      </c>
      <c r="Q106" t="str">
        <f t="shared" si="9"/>
        <v>Yes</v>
      </c>
      <c r="R106" t="str">
        <f t="shared" ref="R106:R110" si="12">IF($E$99="Yes",IF(AND(C106&lt;&gt;"",E106+F106&gt;=0.04*C106),"Yes","No"),IF(AND(P106="Yes",Q106="Yes",G106="Yes",H106="Yes",I106&lt;&gt;"",I106&lt;=15),"Yes",IF(J106="Yes","Yes","No")))</f>
        <v>No</v>
      </c>
    </row>
    <row r="107" spans="1:18" x14ac:dyDescent="0.25">
      <c r="A107" s="115"/>
      <c r="B107" s="1189"/>
      <c r="C107" s="1190"/>
      <c r="D107" s="1190"/>
      <c r="E107" s="1190"/>
      <c r="F107" s="1188"/>
      <c r="G107" s="1187" t="s">
        <v>53</v>
      </c>
      <c r="H107" s="1187" t="s">
        <v>53</v>
      </c>
      <c r="I107" s="1190"/>
      <c r="J107" s="1014" t="s">
        <v>53</v>
      </c>
      <c r="K107" s="1655" t="str">
        <f t="shared" si="11"/>
        <v/>
      </c>
      <c r="L107" s="1655"/>
      <c r="M107" s="115"/>
      <c r="N107" s="115"/>
      <c r="P107" t="str">
        <f t="shared" si="8"/>
        <v>No</v>
      </c>
      <c r="Q107" t="str">
        <f t="shared" si="9"/>
        <v>Yes</v>
      </c>
      <c r="R107" t="str">
        <f t="shared" si="12"/>
        <v>No</v>
      </c>
    </row>
    <row r="108" spans="1:18" x14ac:dyDescent="0.25">
      <c r="A108" s="115"/>
      <c r="B108" s="1189"/>
      <c r="C108" s="1190"/>
      <c r="D108" s="1190"/>
      <c r="E108" s="1190"/>
      <c r="F108" s="1188"/>
      <c r="G108" s="1187" t="s">
        <v>53</v>
      </c>
      <c r="H108" s="1187" t="s">
        <v>53</v>
      </c>
      <c r="I108" s="1190"/>
      <c r="J108" s="1014" t="s">
        <v>53</v>
      </c>
      <c r="K108" s="1655" t="str">
        <f t="shared" si="11"/>
        <v/>
      </c>
      <c r="L108" s="1655"/>
      <c r="M108" s="115"/>
      <c r="N108" s="115"/>
      <c r="P108" t="str">
        <f t="shared" si="8"/>
        <v>No</v>
      </c>
      <c r="Q108" t="str">
        <f t="shared" si="9"/>
        <v>Yes</v>
      </c>
      <c r="R108" t="str">
        <f t="shared" si="12"/>
        <v>No</v>
      </c>
    </row>
    <row r="109" spans="1:18" x14ac:dyDescent="0.25">
      <c r="A109" s="115"/>
      <c r="B109" s="1189"/>
      <c r="C109" s="1190"/>
      <c r="D109" s="1190"/>
      <c r="E109" s="1190"/>
      <c r="F109" s="1188"/>
      <c r="G109" s="1187" t="s">
        <v>53</v>
      </c>
      <c r="H109" s="1187" t="s">
        <v>53</v>
      </c>
      <c r="I109" s="1190"/>
      <c r="J109" s="1014" t="s">
        <v>53</v>
      </c>
      <c r="K109" s="1655" t="str">
        <f t="shared" si="11"/>
        <v/>
      </c>
      <c r="L109" s="1655"/>
      <c r="M109" s="115"/>
      <c r="N109" s="115"/>
      <c r="P109" t="str">
        <f t="shared" si="8"/>
        <v>No</v>
      </c>
      <c r="Q109" t="str">
        <f t="shared" si="9"/>
        <v>Yes</v>
      </c>
      <c r="R109" t="str">
        <f t="shared" si="12"/>
        <v>No</v>
      </c>
    </row>
    <row r="110" spans="1:18" x14ac:dyDescent="0.25">
      <c r="A110" s="115"/>
      <c r="B110" s="1189"/>
      <c r="C110" s="1190"/>
      <c r="D110" s="1190"/>
      <c r="E110" s="1190"/>
      <c r="F110" s="1188"/>
      <c r="G110" s="1187" t="s">
        <v>53</v>
      </c>
      <c r="H110" s="1187" t="s">
        <v>53</v>
      </c>
      <c r="I110" s="1190"/>
      <c r="J110" s="1014" t="s">
        <v>53</v>
      </c>
      <c r="K110" s="1655" t="str">
        <f t="shared" si="11"/>
        <v/>
      </c>
      <c r="L110" s="1655"/>
      <c r="M110" s="115"/>
      <c r="N110" s="115"/>
      <c r="P110" t="str">
        <f t="shared" si="8"/>
        <v>No</v>
      </c>
      <c r="Q110" t="str">
        <f t="shared" si="9"/>
        <v>Yes</v>
      </c>
      <c r="R110" t="str">
        <f t="shared" si="12"/>
        <v>No</v>
      </c>
    </row>
    <row r="111" spans="1:18" x14ac:dyDescent="0.25">
      <c r="A111" s="115"/>
      <c r="B111" s="717"/>
      <c r="C111" s="723"/>
      <c r="D111" s="723"/>
      <c r="E111" s="723"/>
      <c r="F111" s="721"/>
      <c r="G111" s="715" t="s">
        <v>53</v>
      </c>
      <c r="H111" s="715" t="s">
        <v>53</v>
      </c>
      <c r="I111" s="723"/>
      <c r="J111" s="442" t="s">
        <v>53</v>
      </c>
      <c r="K111" s="1655" t="str">
        <f t="shared" si="7"/>
        <v/>
      </c>
      <c r="L111" s="1655"/>
      <c r="M111" s="115"/>
      <c r="N111" s="115"/>
      <c r="P111" t="str">
        <f t="shared" ref="P111:P115" si="13">IF(C111="","No",IF(E111&gt;=0.05*C111,"Yes","No"))</f>
        <v>No</v>
      </c>
      <c r="Q111" t="str">
        <f t="shared" ref="Q111:Q115" si="14">IF(F111&gt;=E111,"Yes","No")</f>
        <v>Yes</v>
      </c>
      <c r="R111" t="str">
        <f t="shared" si="10"/>
        <v>No</v>
      </c>
    </row>
    <row r="112" spans="1:18" x14ac:dyDescent="0.25">
      <c r="A112" s="115"/>
      <c r="B112" s="717"/>
      <c r="C112" s="723"/>
      <c r="D112" s="723"/>
      <c r="E112" s="723"/>
      <c r="F112" s="721"/>
      <c r="G112" s="715" t="s">
        <v>53</v>
      </c>
      <c r="H112" s="715" t="s">
        <v>53</v>
      </c>
      <c r="I112" s="723"/>
      <c r="J112" s="442" t="s">
        <v>53</v>
      </c>
      <c r="K112" s="1655" t="str">
        <f t="shared" si="7"/>
        <v/>
      </c>
      <c r="L112" s="1655"/>
      <c r="M112" s="115"/>
      <c r="N112" s="115"/>
      <c r="P112" t="str">
        <f t="shared" si="13"/>
        <v>No</v>
      </c>
      <c r="Q112" t="str">
        <f t="shared" si="14"/>
        <v>Yes</v>
      </c>
      <c r="R112" t="str">
        <f t="shared" si="10"/>
        <v>No</v>
      </c>
    </row>
    <row r="113" spans="1:18" x14ac:dyDescent="0.25">
      <c r="A113" s="115"/>
      <c r="B113" s="717"/>
      <c r="C113" s="723"/>
      <c r="D113" s="723"/>
      <c r="E113" s="723"/>
      <c r="F113" s="721"/>
      <c r="G113" s="715" t="s">
        <v>53</v>
      </c>
      <c r="H113" s="715" t="s">
        <v>53</v>
      </c>
      <c r="I113" s="723"/>
      <c r="J113" s="442" t="s">
        <v>53</v>
      </c>
      <c r="K113" s="1655" t="str">
        <f t="shared" si="7"/>
        <v/>
      </c>
      <c r="L113" s="1655"/>
      <c r="M113" s="115"/>
      <c r="N113" s="115"/>
      <c r="P113" t="str">
        <f t="shared" si="13"/>
        <v>No</v>
      </c>
      <c r="Q113" t="str">
        <f t="shared" si="14"/>
        <v>Yes</v>
      </c>
      <c r="R113" t="str">
        <f t="shared" si="10"/>
        <v>No</v>
      </c>
    </row>
    <row r="114" spans="1:18" x14ac:dyDescent="0.25">
      <c r="A114" s="115"/>
      <c r="B114" s="717"/>
      <c r="C114" s="723"/>
      <c r="D114" s="723"/>
      <c r="E114" s="723"/>
      <c r="F114" s="721"/>
      <c r="G114" s="715" t="s">
        <v>53</v>
      </c>
      <c r="H114" s="715" t="s">
        <v>53</v>
      </c>
      <c r="I114" s="723"/>
      <c r="J114" s="442" t="s">
        <v>53</v>
      </c>
      <c r="K114" s="1655" t="str">
        <f t="shared" si="7"/>
        <v/>
      </c>
      <c r="L114" s="1655"/>
      <c r="M114" s="115"/>
      <c r="N114" s="115"/>
      <c r="P114" t="str">
        <f t="shared" si="13"/>
        <v>No</v>
      </c>
      <c r="Q114" t="str">
        <f t="shared" si="14"/>
        <v>Yes</v>
      </c>
      <c r="R114" t="str">
        <f t="shared" si="10"/>
        <v>No</v>
      </c>
    </row>
    <row r="115" spans="1:18" x14ac:dyDescent="0.25">
      <c r="A115" s="115"/>
      <c r="B115" s="717"/>
      <c r="C115" s="723"/>
      <c r="D115" s="723"/>
      <c r="E115" s="723"/>
      <c r="F115" s="721"/>
      <c r="G115" s="715" t="s">
        <v>53</v>
      </c>
      <c r="H115" s="715" t="s">
        <v>53</v>
      </c>
      <c r="I115" s="723"/>
      <c r="J115" s="442" t="s">
        <v>53</v>
      </c>
      <c r="K115" s="1655" t="str">
        <f t="shared" si="7"/>
        <v/>
      </c>
      <c r="L115" s="1655"/>
      <c r="M115" s="115"/>
      <c r="N115" s="115"/>
      <c r="P115" t="str">
        <f t="shared" si="13"/>
        <v>No</v>
      </c>
      <c r="Q115" t="str">
        <f t="shared" si="14"/>
        <v>Yes</v>
      </c>
      <c r="R115" t="str">
        <f t="shared" si="10"/>
        <v>No</v>
      </c>
    </row>
    <row r="116" spans="1:18" x14ac:dyDescent="0.25">
      <c r="A116" s="115"/>
      <c r="B116" s="700"/>
      <c r="C116" s="703"/>
      <c r="D116" s="703"/>
      <c r="E116" s="703"/>
      <c r="F116" s="699"/>
      <c r="G116" s="697" t="s">
        <v>53</v>
      </c>
      <c r="H116" s="697" t="s">
        <v>53</v>
      </c>
      <c r="I116" s="703"/>
      <c r="J116" s="442" t="s">
        <v>53</v>
      </c>
      <c r="K116" s="1655" t="str">
        <f t="shared" si="7"/>
        <v/>
      </c>
      <c r="L116" s="1655"/>
      <c r="M116" s="115"/>
      <c r="N116" s="115"/>
      <c r="P116" t="str">
        <f t="shared" si="8"/>
        <v>No</v>
      </c>
      <c r="Q116" t="str">
        <f t="shared" si="9"/>
        <v>Yes</v>
      </c>
      <c r="R116" t="str">
        <f t="shared" si="10"/>
        <v>No</v>
      </c>
    </row>
    <row r="117" spans="1:18" x14ac:dyDescent="0.25">
      <c r="A117" s="115"/>
      <c r="B117" s="700"/>
      <c r="C117" s="703"/>
      <c r="D117" s="703"/>
      <c r="E117" s="703"/>
      <c r="F117" s="699"/>
      <c r="G117" s="697" t="s">
        <v>53</v>
      </c>
      <c r="H117" s="697" t="s">
        <v>53</v>
      </c>
      <c r="I117" s="703"/>
      <c r="J117" s="442" t="s">
        <v>53</v>
      </c>
      <c r="K117" s="1655" t="str">
        <f t="shared" si="7"/>
        <v/>
      </c>
      <c r="L117" s="1655"/>
      <c r="M117" s="115"/>
      <c r="N117" s="115"/>
      <c r="P117" t="str">
        <f t="shared" si="8"/>
        <v>No</v>
      </c>
      <c r="Q117" t="str">
        <f t="shared" si="9"/>
        <v>Yes</v>
      </c>
      <c r="R117" t="str">
        <f t="shared" si="10"/>
        <v>No</v>
      </c>
    </row>
    <row r="118" spans="1:18" x14ac:dyDescent="0.25">
      <c r="A118" s="115"/>
      <c r="B118" s="700"/>
      <c r="C118" s="594"/>
      <c r="D118" s="594"/>
      <c r="E118" s="703"/>
      <c r="F118" s="699"/>
      <c r="G118" s="592" t="s">
        <v>53</v>
      </c>
      <c r="H118" s="697" t="s">
        <v>53</v>
      </c>
      <c r="I118" s="594"/>
      <c r="J118" s="442" t="s">
        <v>53</v>
      </c>
      <c r="K118" s="1655" t="str">
        <f t="shared" si="7"/>
        <v/>
      </c>
      <c r="L118" s="1655"/>
      <c r="M118" s="115"/>
      <c r="N118" s="115"/>
      <c r="P118" t="str">
        <f t="shared" si="8"/>
        <v>No</v>
      </c>
      <c r="Q118" t="str">
        <f t="shared" si="9"/>
        <v>Yes</v>
      </c>
      <c r="R118" t="str">
        <f t="shared" si="10"/>
        <v>No</v>
      </c>
    </row>
    <row r="119" spans="1:18" x14ac:dyDescent="0.25">
      <c r="A119" s="115"/>
      <c r="B119" s="700"/>
      <c r="C119" s="594"/>
      <c r="D119" s="594"/>
      <c r="E119" s="703"/>
      <c r="F119" s="699"/>
      <c r="G119" s="592" t="s">
        <v>53</v>
      </c>
      <c r="H119" s="697" t="s">
        <v>53</v>
      </c>
      <c r="I119" s="594"/>
      <c r="J119" s="442" t="s">
        <v>53</v>
      </c>
      <c r="K119" s="1655" t="str">
        <f t="shared" si="7"/>
        <v/>
      </c>
      <c r="L119" s="1655"/>
      <c r="M119" s="115"/>
      <c r="N119" s="115"/>
      <c r="P119" t="str">
        <f t="shared" si="8"/>
        <v>No</v>
      </c>
      <c r="Q119" t="str">
        <f t="shared" si="9"/>
        <v>Yes</v>
      </c>
      <c r="R119" t="str">
        <f t="shared" si="10"/>
        <v>No</v>
      </c>
    </row>
    <row r="120" spans="1:18" x14ac:dyDescent="0.25">
      <c r="A120" s="115"/>
      <c r="B120" s="700"/>
      <c r="C120" s="594"/>
      <c r="D120" s="594"/>
      <c r="E120" s="703"/>
      <c r="F120" s="699"/>
      <c r="G120" s="592" t="s">
        <v>53</v>
      </c>
      <c r="H120" s="697" t="s">
        <v>53</v>
      </c>
      <c r="I120" s="594"/>
      <c r="J120" s="442" t="s">
        <v>53</v>
      </c>
      <c r="K120" s="1655" t="str">
        <f t="shared" si="7"/>
        <v/>
      </c>
      <c r="L120" s="1655"/>
      <c r="M120" s="115"/>
      <c r="N120" s="115"/>
      <c r="P120" t="str">
        <f t="shared" si="8"/>
        <v>No</v>
      </c>
      <c r="Q120" t="str">
        <f t="shared" si="9"/>
        <v>Yes</v>
      </c>
      <c r="R120" t="str">
        <f t="shared" si="10"/>
        <v>No</v>
      </c>
    </row>
    <row r="121" spans="1:18" x14ac:dyDescent="0.25">
      <c r="A121" s="115"/>
      <c r="B121" s="700"/>
      <c r="C121" s="594"/>
      <c r="D121" s="594"/>
      <c r="E121" s="703"/>
      <c r="F121" s="699"/>
      <c r="G121" s="592" t="s">
        <v>53</v>
      </c>
      <c r="H121" s="697" t="s">
        <v>53</v>
      </c>
      <c r="I121" s="594"/>
      <c r="J121" s="442" t="s">
        <v>53</v>
      </c>
      <c r="K121" s="1655" t="str">
        <f t="shared" si="7"/>
        <v/>
      </c>
      <c r="L121" s="1655"/>
      <c r="M121" s="115"/>
      <c r="N121" s="115"/>
      <c r="P121" t="str">
        <f t="shared" si="8"/>
        <v>No</v>
      </c>
      <c r="Q121" t="str">
        <f t="shared" si="9"/>
        <v>Yes</v>
      </c>
      <c r="R121" t="str">
        <f t="shared" si="10"/>
        <v>No</v>
      </c>
    </row>
    <row r="122" spans="1:18" x14ac:dyDescent="0.25">
      <c r="A122" s="115"/>
      <c r="B122" s="905"/>
      <c r="C122" s="905"/>
      <c r="D122" s="905"/>
      <c r="E122" s="905"/>
      <c r="F122" s="905"/>
      <c r="G122" s="905"/>
      <c r="H122" s="905"/>
      <c r="I122" s="905"/>
      <c r="J122" s="905"/>
      <c r="K122" s="905"/>
      <c r="L122" s="115"/>
      <c r="M122" s="115"/>
      <c r="N122" s="115"/>
    </row>
    <row r="123" spans="1:18" ht="18" customHeight="1" x14ac:dyDescent="0.25">
      <c r="A123" s="115"/>
      <c r="B123" s="1666" t="s">
        <v>1237</v>
      </c>
      <c r="C123" s="1666"/>
      <c r="D123" s="1666"/>
      <c r="E123" s="127">
        <f>IFERROR(SUMIF(R102:R121,"Yes",C102:C121)/SUM(C102:C121),0)</f>
        <v>0</v>
      </c>
      <c r="F123" s="115"/>
      <c r="G123" s="115"/>
      <c r="H123" s="115"/>
      <c r="I123" s="115"/>
      <c r="J123" s="115"/>
      <c r="K123" s="115"/>
      <c r="L123" s="115"/>
      <c r="M123" s="115"/>
      <c r="N123" s="115"/>
    </row>
    <row r="124" spans="1:18" ht="19.5" customHeight="1" x14ac:dyDescent="0.25">
      <c r="A124" s="115"/>
      <c r="B124" s="115"/>
      <c r="C124" s="115"/>
      <c r="D124" s="115"/>
      <c r="E124" s="115"/>
      <c r="F124" s="115"/>
      <c r="G124" s="115"/>
      <c r="H124" s="115"/>
      <c r="I124" s="115"/>
      <c r="J124" s="115"/>
      <c r="K124" s="115"/>
      <c r="L124" s="115"/>
      <c r="M124" s="115"/>
      <c r="N124" s="115"/>
    </row>
    <row r="125" spans="1:18" s="35" customFormat="1" ht="16.5" customHeight="1" x14ac:dyDescent="0.25">
      <c r="A125" s="223" t="s">
        <v>84</v>
      </c>
      <c r="B125" s="48"/>
      <c r="C125" s="48"/>
      <c r="D125" s="115"/>
      <c r="E125" s="115"/>
      <c r="F125" s="115"/>
      <c r="G125" s="115"/>
      <c r="H125" s="115"/>
      <c r="I125" s="115"/>
      <c r="J125" s="115"/>
      <c r="K125" s="115"/>
      <c r="L125" s="115"/>
      <c r="M125" s="115"/>
      <c r="N125" s="115"/>
    </row>
    <row r="126" spans="1:18" s="35" customFormat="1" x14ac:dyDescent="0.25">
      <c r="A126" s="115"/>
      <c r="B126" s="115"/>
      <c r="C126" s="115"/>
      <c r="D126" s="115"/>
      <c r="E126" s="115"/>
      <c r="F126" s="115"/>
      <c r="G126" s="115"/>
      <c r="H126" s="115"/>
      <c r="I126" s="115"/>
      <c r="J126" s="115"/>
      <c r="K126" s="115"/>
      <c r="L126" s="115"/>
      <c r="M126" s="115"/>
      <c r="N126" s="115"/>
    </row>
    <row r="127" spans="1:18" s="35" customFormat="1" ht="21" customHeight="1" x14ac:dyDescent="0.25">
      <c r="A127" s="115"/>
      <c r="B127" s="1641" t="s">
        <v>85</v>
      </c>
      <c r="C127" s="1642"/>
      <c r="D127" s="1642"/>
      <c r="E127" s="1642"/>
      <c r="F127" s="1642"/>
      <c r="G127" s="626" t="s">
        <v>907</v>
      </c>
      <c r="H127" s="1638" t="s">
        <v>908</v>
      </c>
      <c r="I127" s="1639"/>
      <c r="J127" s="115"/>
      <c r="K127" s="115"/>
      <c r="L127" s="115"/>
      <c r="M127" s="115"/>
      <c r="N127" s="115"/>
    </row>
    <row r="128" spans="1:18" s="35" customFormat="1" ht="27" customHeight="1" x14ac:dyDescent="0.25">
      <c r="A128" s="115"/>
      <c r="B128" s="1648" t="str">
        <f>Submittals!G5</f>
        <v>• Plans, elevations and sections marking all operable wall and roof openings</v>
      </c>
      <c r="C128" s="1649" t="s">
        <v>248</v>
      </c>
      <c r="D128" s="1649"/>
      <c r="E128" s="1649"/>
      <c r="F128" s="1650"/>
      <c r="G128" s="833" t="s">
        <v>53</v>
      </c>
      <c r="H128" s="1689"/>
      <c r="I128" s="1736"/>
      <c r="J128" s="115"/>
      <c r="K128" s="115"/>
      <c r="L128" s="115"/>
      <c r="M128" s="115"/>
      <c r="N128" s="115"/>
      <c r="O128" s="35" t="str">
        <f>IF(OR(B128="/",B128="No evidence required at this submission stage"),"Yes",IF(G128="Submitted","Yes","No"))</f>
        <v>No</v>
      </c>
    </row>
    <row r="129" spans="1:18" s="35" customFormat="1" ht="27" customHeight="1" x14ac:dyDescent="0.25">
      <c r="A129" s="115"/>
      <c r="B129" s="1648" t="str">
        <f>Submittals!G6</f>
        <v>• Window schedule indicating the number, location and size of all operable wall and roof openings</v>
      </c>
      <c r="C129" s="1649" t="s">
        <v>248</v>
      </c>
      <c r="D129" s="1649"/>
      <c r="E129" s="1649"/>
      <c r="F129" s="1650"/>
      <c r="G129" s="833" t="s">
        <v>53</v>
      </c>
      <c r="H129" s="1689"/>
      <c r="I129" s="1736"/>
      <c r="J129" s="115"/>
      <c r="K129" s="115"/>
      <c r="L129" s="115"/>
      <c r="M129" s="115"/>
      <c r="N129" s="115"/>
      <c r="O129" s="35" t="str">
        <f>IF(OR(B129="/",B129="No evidence required at this submission stage"),"Yes",IF(G129="Submitted","Yes","No"))</f>
        <v>No</v>
      </c>
    </row>
    <row r="130" spans="1:18" s="35" customFormat="1" ht="19.5" customHeight="1" x14ac:dyDescent="0.25">
      <c r="A130" s="115"/>
      <c r="B130" s="115"/>
      <c r="C130" s="115"/>
      <c r="D130" s="115"/>
      <c r="E130" s="115"/>
      <c r="F130" s="115"/>
      <c r="G130" s="115"/>
      <c r="H130" s="115"/>
      <c r="I130" s="115"/>
      <c r="J130" s="115"/>
      <c r="K130" s="115"/>
      <c r="L130" s="115"/>
      <c r="M130" s="115"/>
      <c r="N130" s="115"/>
    </row>
    <row r="131" spans="1:18" ht="16.5" customHeight="1" x14ac:dyDescent="0.25">
      <c r="A131" s="223" t="s">
        <v>5</v>
      </c>
      <c r="B131" s="48"/>
      <c r="C131" s="48"/>
      <c r="D131" s="115"/>
      <c r="E131" s="115"/>
      <c r="F131" s="115"/>
      <c r="G131" s="115"/>
      <c r="H131" s="115"/>
      <c r="I131" s="115"/>
      <c r="J131" s="115"/>
      <c r="K131" s="115"/>
      <c r="L131" s="115"/>
      <c r="M131" s="115"/>
      <c r="N131" s="115"/>
      <c r="O131" s="35"/>
      <c r="P131" s="35"/>
      <c r="Q131" s="35"/>
      <c r="R131" s="35"/>
    </row>
    <row r="132" spans="1:18" ht="15.75" customHeight="1" x14ac:dyDescent="0.25">
      <c r="A132" s="115"/>
      <c r="B132" s="115"/>
      <c r="C132" s="115"/>
      <c r="D132" s="115"/>
      <c r="E132" s="115"/>
      <c r="F132" s="115"/>
      <c r="G132" s="115"/>
      <c r="H132" s="115"/>
      <c r="I132" s="115"/>
      <c r="J132" s="115"/>
      <c r="K132" s="115"/>
      <c r="L132" s="115"/>
      <c r="M132" s="115"/>
      <c r="N132" s="115"/>
      <c r="O132" s="35"/>
      <c r="P132" s="35"/>
      <c r="Q132" s="35"/>
      <c r="R132" s="35"/>
    </row>
    <row r="133" spans="1:18" ht="18" customHeight="1" x14ac:dyDescent="0.25">
      <c r="A133" s="115"/>
      <c r="B133" s="102" t="s">
        <v>16</v>
      </c>
      <c r="C133" s="8">
        <f>IF(E123&gt;=1,4,IF(E123&gt;=0.75,3,IF(E123&gt;=0.5,2,IF(E123&gt;=0.25,1,0))))</f>
        <v>0</v>
      </c>
      <c r="D133" s="115"/>
      <c r="E133" s="115"/>
      <c r="F133" s="115"/>
      <c r="G133" s="115"/>
      <c r="H133" s="115"/>
      <c r="I133" s="115"/>
      <c r="J133" s="115"/>
      <c r="K133" s="115"/>
      <c r="L133" s="115"/>
      <c r="M133" s="115"/>
      <c r="N133" s="115"/>
      <c r="O133" s="35"/>
      <c r="P133" s="35"/>
      <c r="Q133" s="35"/>
      <c r="R133" s="35"/>
    </row>
    <row r="134" spans="1:18" ht="18" customHeight="1" x14ac:dyDescent="0.25">
      <c r="A134" s="115"/>
      <c r="B134" s="102" t="s">
        <v>133</v>
      </c>
      <c r="C134" s="8" t="str">
        <f>IF(AND(COUNTIF(O128:O129,"Yes")=2,C133&gt;0),"Yes","No")</f>
        <v>No</v>
      </c>
      <c r="D134" s="115"/>
      <c r="E134" s="115"/>
      <c r="F134" s="115"/>
      <c r="G134" s="115"/>
      <c r="H134" s="115"/>
      <c r="I134" s="115"/>
      <c r="J134" s="115"/>
      <c r="K134" s="115"/>
      <c r="L134" s="115"/>
      <c r="M134" s="115"/>
      <c r="N134" s="115"/>
      <c r="O134" s="35"/>
      <c r="P134" s="35"/>
      <c r="Q134" s="35"/>
      <c r="R134" s="35"/>
    </row>
    <row r="135" spans="1:18" ht="19.5" customHeight="1" x14ac:dyDescent="0.25">
      <c r="A135" s="115"/>
      <c r="B135" s="115"/>
      <c r="C135" s="115"/>
      <c r="D135" s="115"/>
      <c r="E135" s="115"/>
      <c r="F135" s="115"/>
      <c r="G135" s="115"/>
      <c r="H135" s="115"/>
      <c r="I135" s="115"/>
      <c r="J135" s="115"/>
      <c r="K135" s="115"/>
      <c r="L135" s="115"/>
      <c r="M135" s="115"/>
      <c r="N135" s="115"/>
    </row>
    <row r="136" spans="1:18" ht="18" customHeight="1" x14ac:dyDescent="0.25">
      <c r="A136" s="1667" t="s">
        <v>1897</v>
      </c>
      <c r="B136" s="1667"/>
      <c r="C136" s="1667"/>
      <c r="D136" s="1667"/>
      <c r="E136" s="1667"/>
      <c r="F136" s="1667"/>
      <c r="G136" s="1667"/>
      <c r="H136" s="1667"/>
      <c r="I136" s="1667"/>
      <c r="J136" s="1667"/>
      <c r="K136" s="1667"/>
      <c r="L136" s="1667"/>
      <c r="M136" s="1667"/>
      <c r="N136" s="1667"/>
    </row>
    <row r="137" spans="1:18" ht="15" customHeight="1" x14ac:dyDescent="0.25">
      <c r="A137" s="4"/>
      <c r="B137" s="4"/>
      <c r="C137" s="4"/>
      <c r="D137" s="4"/>
      <c r="E137" s="4"/>
      <c r="F137" s="4"/>
      <c r="G137" s="5"/>
      <c r="H137" s="5"/>
      <c r="I137" s="5"/>
      <c r="J137" s="5"/>
      <c r="K137" s="5"/>
      <c r="L137" s="5"/>
      <c r="M137" s="5"/>
      <c r="N137" s="5"/>
    </row>
    <row r="138" spans="1:18" ht="15" customHeight="1" x14ac:dyDescent="0.25">
      <c r="A138" s="4"/>
      <c r="B138" s="1744" t="s">
        <v>1525</v>
      </c>
      <c r="C138" s="1745"/>
      <c r="D138" s="881" t="s">
        <v>53</v>
      </c>
      <c r="E138" s="4"/>
      <c r="F138" s="4"/>
      <c r="G138" s="5"/>
      <c r="H138" s="5"/>
      <c r="I138" s="5"/>
      <c r="J138" s="5"/>
      <c r="K138" s="5"/>
      <c r="L138" s="5"/>
      <c r="M138" s="5"/>
      <c r="N138" s="5"/>
    </row>
    <row r="139" spans="1:18" ht="17.25" customHeight="1" x14ac:dyDescent="0.25">
      <c r="A139" s="4"/>
      <c r="B139" s="4"/>
      <c r="C139" s="4"/>
      <c r="D139" s="4"/>
      <c r="E139" s="4"/>
      <c r="F139" s="4"/>
      <c r="G139" s="5"/>
      <c r="H139" s="5"/>
      <c r="I139" s="5"/>
      <c r="J139" s="5"/>
      <c r="K139" s="5"/>
      <c r="L139" s="5"/>
      <c r="M139" s="5"/>
      <c r="N139" s="5"/>
    </row>
    <row r="140" spans="1:18" ht="18" customHeight="1" x14ac:dyDescent="0.25">
      <c r="A140" s="1667" t="s">
        <v>1532</v>
      </c>
      <c r="B140" s="1667"/>
      <c r="C140" s="1667"/>
      <c r="D140" s="1667"/>
      <c r="E140" s="1667"/>
      <c r="F140" s="1667"/>
      <c r="G140" s="1667"/>
      <c r="H140" s="1667"/>
      <c r="I140" s="1667"/>
      <c r="J140" s="1667"/>
      <c r="K140" s="1667"/>
      <c r="L140" s="1667"/>
      <c r="M140" s="1667"/>
      <c r="N140" s="1667"/>
    </row>
    <row r="141" spans="1:18" ht="13.5" customHeight="1" x14ac:dyDescent="0.25">
      <c r="A141" s="667"/>
      <c r="B141" s="114"/>
      <c r="C141" s="114"/>
      <c r="D141" s="114"/>
      <c r="E141" s="114"/>
      <c r="F141" s="114"/>
      <c r="G141" s="114"/>
      <c r="H141" s="114"/>
      <c r="I141" s="114"/>
      <c r="J141" s="114"/>
      <c r="K141" s="114"/>
      <c r="L141" s="114"/>
      <c r="M141" s="114"/>
      <c r="N141" s="114"/>
    </row>
    <row r="142" spans="1:18" ht="16.5" customHeight="1" x14ac:dyDescent="0.25">
      <c r="A142" s="1688" t="s">
        <v>102</v>
      </c>
      <c r="B142" s="1688"/>
      <c r="C142" s="1688"/>
      <c r="D142" s="114"/>
      <c r="E142" s="114"/>
      <c r="F142" s="114"/>
      <c r="G142" s="114"/>
      <c r="H142" s="114"/>
      <c r="I142" s="114"/>
      <c r="J142" s="114"/>
      <c r="K142" s="114"/>
      <c r="L142" s="114"/>
      <c r="M142" s="114"/>
      <c r="N142" s="114"/>
    </row>
    <row r="143" spans="1:18" ht="13.5" customHeight="1" x14ac:dyDescent="0.25">
      <c r="A143" s="667"/>
      <c r="B143" s="114"/>
      <c r="C143" s="114"/>
      <c r="D143" s="114"/>
      <c r="E143" s="114"/>
      <c r="F143" s="114"/>
      <c r="G143" s="114"/>
      <c r="H143" s="114"/>
      <c r="I143" s="114"/>
      <c r="J143" s="114"/>
      <c r="K143" s="114"/>
      <c r="L143" s="114"/>
      <c r="M143" s="114"/>
      <c r="N143" s="114"/>
    </row>
    <row r="144" spans="1:18" ht="13.5" customHeight="1" x14ac:dyDescent="0.25">
      <c r="A144" s="667"/>
      <c r="B144" s="904" t="s">
        <v>2202</v>
      </c>
      <c r="C144" s="114"/>
      <c r="D144" s="114"/>
      <c r="E144" s="114"/>
      <c r="F144" s="114"/>
      <c r="G144" s="114"/>
      <c r="H144" s="114"/>
      <c r="I144" s="114"/>
      <c r="J144" s="114"/>
      <c r="K144" s="114"/>
      <c r="L144" s="114"/>
      <c r="M144" s="114"/>
      <c r="N144" s="114"/>
    </row>
    <row r="145" spans="1:16" ht="12" customHeight="1" x14ac:dyDescent="0.25">
      <c r="A145" s="667"/>
      <c r="B145" s="114"/>
      <c r="C145" s="114"/>
      <c r="D145" s="114"/>
      <c r="E145" s="114"/>
      <c r="F145" s="114"/>
      <c r="G145" s="114"/>
      <c r="H145" s="114"/>
      <c r="I145" s="114"/>
      <c r="J145" s="114"/>
      <c r="K145" s="114"/>
      <c r="L145" s="114"/>
      <c r="M145" s="114"/>
      <c r="N145" s="114"/>
    </row>
    <row r="146" spans="1:16" ht="10.5" customHeight="1" x14ac:dyDescent="0.25">
      <c r="A146" s="667"/>
      <c r="B146" s="114"/>
      <c r="C146" s="114"/>
      <c r="D146" s="114"/>
      <c r="E146" s="114"/>
      <c r="F146" s="114"/>
      <c r="G146" s="114"/>
      <c r="H146" s="114"/>
      <c r="I146" s="114"/>
      <c r="J146" s="114"/>
      <c r="K146" s="114"/>
      <c r="L146" s="114"/>
      <c r="M146" s="114"/>
      <c r="N146" s="114"/>
    </row>
    <row r="147" spans="1:16" ht="13.5" customHeight="1" x14ac:dyDescent="0.25">
      <c r="A147" s="667"/>
      <c r="B147" s="1209" t="s">
        <v>2203</v>
      </c>
      <c r="C147" s="114"/>
      <c r="D147" s="114"/>
      <c r="E147" s="114"/>
      <c r="F147" s="114"/>
      <c r="G147" s="114"/>
      <c r="H147" s="114"/>
      <c r="I147" s="114"/>
      <c r="J147" s="114"/>
      <c r="K147" s="114"/>
      <c r="L147" s="114"/>
      <c r="M147" s="114"/>
      <c r="N147" s="114"/>
    </row>
    <row r="148" spans="1:16" ht="18" customHeight="1" x14ac:dyDescent="0.25">
      <c r="A148" s="667"/>
      <c r="B148" s="114"/>
      <c r="C148" s="114"/>
      <c r="D148" s="114"/>
      <c r="E148" s="114"/>
      <c r="F148" s="114"/>
      <c r="G148" s="114"/>
      <c r="H148" s="114"/>
      <c r="I148" s="114"/>
      <c r="J148" s="114"/>
      <c r="K148" s="114"/>
      <c r="L148" s="114"/>
      <c r="M148" s="114"/>
      <c r="N148" s="114"/>
    </row>
    <row r="149" spans="1:16" ht="16.5" customHeight="1" x14ac:dyDescent="0.25">
      <c r="A149" s="874" t="s">
        <v>6</v>
      </c>
      <c r="B149" s="71"/>
      <c r="C149" s="71"/>
      <c r="D149" s="118"/>
      <c r="E149" s="118"/>
      <c r="F149" s="118"/>
      <c r="G149" s="118"/>
      <c r="H149" s="118"/>
      <c r="I149" s="118"/>
      <c r="J149" s="118"/>
      <c r="K149" s="118"/>
      <c r="L149" s="118"/>
      <c r="M149" s="118"/>
      <c r="N149" s="118"/>
    </row>
    <row r="150" spans="1:16" ht="15" customHeight="1" x14ac:dyDescent="0.25">
      <c r="A150" s="118"/>
      <c r="B150" s="118"/>
      <c r="C150" s="118"/>
      <c r="D150" s="118"/>
      <c r="E150" s="118"/>
      <c r="F150" s="118"/>
      <c r="G150" s="118"/>
      <c r="H150" s="118"/>
      <c r="I150" s="118"/>
      <c r="J150" s="118"/>
      <c r="K150" s="118"/>
      <c r="L150" s="118"/>
      <c r="M150" s="118"/>
      <c r="N150" s="118"/>
    </row>
    <row r="151" spans="1:16" ht="15" customHeight="1" x14ac:dyDescent="0.25">
      <c r="A151" s="118"/>
      <c r="B151" s="902" t="s">
        <v>2206</v>
      </c>
      <c r="C151" s="118"/>
      <c r="D151" s="118"/>
      <c r="E151" s="118"/>
      <c r="F151" s="118"/>
      <c r="G151" s="118"/>
      <c r="H151" s="118"/>
      <c r="I151" s="118"/>
      <c r="J151" s="118"/>
      <c r="K151" s="118"/>
      <c r="L151" s="118"/>
      <c r="M151" s="118"/>
      <c r="N151" s="118"/>
    </row>
    <row r="152" spans="1:16" ht="13.5" customHeight="1" x14ac:dyDescent="0.25">
      <c r="A152" s="118"/>
      <c r="B152" s="118"/>
      <c r="C152" s="118"/>
      <c r="D152" s="118"/>
      <c r="E152" s="118"/>
      <c r="F152" s="118"/>
      <c r="G152" s="118"/>
      <c r="H152" s="118"/>
      <c r="I152" s="118"/>
      <c r="J152" s="118"/>
      <c r="K152" s="118"/>
      <c r="L152" s="118"/>
      <c r="M152" s="118"/>
      <c r="N152" s="118"/>
    </row>
    <row r="153" spans="1:16" ht="28.5" customHeight="1" x14ac:dyDescent="0.25">
      <c r="A153" s="118"/>
      <c r="B153" s="878" t="s">
        <v>47</v>
      </c>
      <c r="C153" s="873" t="s">
        <v>46</v>
      </c>
      <c r="D153" s="873" t="s">
        <v>1534</v>
      </c>
      <c r="E153" s="870" t="s">
        <v>8</v>
      </c>
      <c r="F153" s="873" t="s">
        <v>2414</v>
      </c>
      <c r="G153" s="1201" t="s">
        <v>2204</v>
      </c>
      <c r="H153" s="118"/>
      <c r="I153" s="118"/>
      <c r="J153" s="118"/>
      <c r="K153" s="118"/>
      <c r="L153" s="118"/>
      <c r="M153" s="118"/>
      <c r="N153" s="118"/>
      <c r="P153" t="s">
        <v>2207</v>
      </c>
    </row>
    <row r="154" spans="1:16" x14ac:dyDescent="0.25">
      <c r="A154" s="118"/>
      <c r="B154" s="880"/>
      <c r="C154" s="880"/>
      <c r="D154" s="880"/>
      <c r="E154" s="876"/>
      <c r="F154" s="880" t="s">
        <v>53</v>
      </c>
      <c r="G154" s="1202"/>
      <c r="H154" s="118"/>
      <c r="I154" s="118"/>
      <c r="J154" s="118"/>
      <c r="K154" s="118"/>
      <c r="L154" s="1691" t="str">
        <f>IF(P153="N/A",IF(D154="split air-conditioner","","Unit type shouldn't be split air-conditioner"),"")</f>
        <v/>
      </c>
      <c r="M154" s="1692"/>
      <c r="N154" s="118"/>
      <c r="O154" t="str">
        <f>IF(AND(B154="",F154="Select",G154=""),"",IF(G154&gt;=5.5,2,IF(G154&gt;=4.5,1,0)))</f>
        <v/>
      </c>
      <c r="P154" t="b">
        <f>IF(G154&lt;&gt;"",IF(F154="Select",0,1))</f>
        <v>0</v>
      </c>
    </row>
    <row r="155" spans="1:16" x14ac:dyDescent="0.25">
      <c r="A155" s="118"/>
      <c r="B155" s="871"/>
      <c r="C155" s="871"/>
      <c r="D155" s="880"/>
      <c r="E155" s="869"/>
      <c r="F155" s="880" t="s">
        <v>53</v>
      </c>
      <c r="G155" s="1199"/>
      <c r="H155" s="118"/>
      <c r="I155" s="118"/>
      <c r="J155" s="118"/>
      <c r="K155" s="118"/>
      <c r="L155" s="1691" t="str">
        <f>IF(Q154="N/A",IF(D155="split air-conditioner","","Unit type shouldn't be split air-conditioner"),"")</f>
        <v/>
      </c>
      <c r="M155" s="1692"/>
      <c r="N155" s="118"/>
      <c r="O155" t="str">
        <f t="shared" ref="O155:O163" si="15">IF(AND(B155="",F155="Select",G155=""),"",IF(G155&gt;=5.5,2,IF(G155&gt;=4.5,1,0)))</f>
        <v/>
      </c>
      <c r="P155" t="b">
        <f t="shared" ref="P155:P163" si="16">IF(G155&lt;&gt;"",IF(F155="Select",0,1))</f>
        <v>0</v>
      </c>
    </row>
    <row r="156" spans="1:16" x14ac:dyDescent="0.25">
      <c r="A156" s="118"/>
      <c r="B156" s="871"/>
      <c r="C156" s="871"/>
      <c r="D156" s="880"/>
      <c r="E156" s="869"/>
      <c r="F156" s="880" t="s">
        <v>53</v>
      </c>
      <c r="G156" s="1199"/>
      <c r="H156" s="118"/>
      <c r="I156" s="118"/>
      <c r="J156" s="118"/>
      <c r="K156" s="118"/>
      <c r="L156" s="1691" t="str">
        <f>IF(Q155="N/A",IF(D156="split air-conditioner","","Unit type shouldn't be split air-conditioner"),"")</f>
        <v/>
      </c>
      <c r="M156" s="1692"/>
      <c r="N156" s="118"/>
      <c r="O156" t="str">
        <f t="shared" si="15"/>
        <v/>
      </c>
      <c r="P156" t="b">
        <f t="shared" si="16"/>
        <v>0</v>
      </c>
    </row>
    <row r="157" spans="1:16" x14ac:dyDescent="0.25">
      <c r="A157" s="118"/>
      <c r="B157" s="871"/>
      <c r="C157" s="871"/>
      <c r="D157" s="880"/>
      <c r="E157" s="869"/>
      <c r="F157" s="880" t="s">
        <v>53</v>
      </c>
      <c r="G157" s="1199"/>
      <c r="H157" s="118"/>
      <c r="I157" s="118"/>
      <c r="J157" s="118"/>
      <c r="K157" s="118"/>
      <c r="L157" s="1691" t="str">
        <f t="shared" ref="L157:L163" si="17">IF(R156="N/A",IF(D157="split air-conditioner","","Unit type shouldn't be split air-conditioner"),"")</f>
        <v/>
      </c>
      <c r="M157" s="1692"/>
      <c r="N157" s="118"/>
      <c r="O157" t="str">
        <f t="shared" si="15"/>
        <v/>
      </c>
      <c r="P157" t="b">
        <f t="shared" si="16"/>
        <v>0</v>
      </c>
    </row>
    <row r="158" spans="1:16" x14ac:dyDescent="0.25">
      <c r="A158" s="118"/>
      <c r="B158" s="871"/>
      <c r="C158" s="871"/>
      <c r="D158" s="880"/>
      <c r="E158" s="869"/>
      <c r="F158" s="880" t="s">
        <v>53</v>
      </c>
      <c r="G158" s="1199"/>
      <c r="H158" s="118"/>
      <c r="I158" s="118"/>
      <c r="J158" s="118"/>
      <c r="K158" s="118"/>
      <c r="L158" s="1691" t="str">
        <f t="shared" si="17"/>
        <v/>
      </c>
      <c r="M158" s="1692"/>
      <c r="N158" s="118"/>
      <c r="O158" t="str">
        <f t="shared" si="15"/>
        <v/>
      </c>
      <c r="P158" t="b">
        <f t="shared" si="16"/>
        <v>0</v>
      </c>
    </row>
    <row r="159" spans="1:16" x14ac:dyDescent="0.25">
      <c r="A159" s="118"/>
      <c r="B159" s="871"/>
      <c r="C159" s="871"/>
      <c r="D159" s="880"/>
      <c r="E159" s="869"/>
      <c r="F159" s="880" t="s">
        <v>53</v>
      </c>
      <c r="G159" s="1199"/>
      <c r="H159" s="118"/>
      <c r="I159" s="118"/>
      <c r="J159" s="118"/>
      <c r="K159" s="118"/>
      <c r="L159" s="1691" t="str">
        <f t="shared" si="17"/>
        <v/>
      </c>
      <c r="M159" s="1692"/>
      <c r="N159" s="118"/>
      <c r="O159" t="str">
        <f t="shared" si="15"/>
        <v/>
      </c>
      <c r="P159" t="b">
        <f t="shared" si="16"/>
        <v>0</v>
      </c>
    </row>
    <row r="160" spans="1:16" x14ac:dyDescent="0.25">
      <c r="A160" s="118"/>
      <c r="B160" s="871"/>
      <c r="C160" s="871"/>
      <c r="D160" s="880"/>
      <c r="E160" s="869"/>
      <c r="F160" s="880" t="s">
        <v>53</v>
      </c>
      <c r="G160" s="1199"/>
      <c r="H160" s="118"/>
      <c r="I160" s="118"/>
      <c r="J160" s="118"/>
      <c r="K160" s="118"/>
      <c r="L160" s="1691" t="str">
        <f t="shared" si="17"/>
        <v/>
      </c>
      <c r="M160" s="1692"/>
      <c r="N160" s="118"/>
      <c r="O160" t="str">
        <f t="shared" si="15"/>
        <v/>
      </c>
      <c r="P160" t="b">
        <f t="shared" si="16"/>
        <v>0</v>
      </c>
    </row>
    <row r="161" spans="1:25" x14ac:dyDescent="0.25">
      <c r="A161" s="118"/>
      <c r="B161" s="871"/>
      <c r="C161" s="871"/>
      <c r="D161" s="880"/>
      <c r="E161" s="869"/>
      <c r="F161" s="880" t="s">
        <v>53</v>
      </c>
      <c r="G161" s="1199"/>
      <c r="H161" s="118"/>
      <c r="I161" s="118"/>
      <c r="J161" s="118"/>
      <c r="K161" s="118"/>
      <c r="L161" s="1691" t="str">
        <f t="shared" si="17"/>
        <v/>
      </c>
      <c r="M161" s="1692"/>
      <c r="N161" s="118"/>
      <c r="O161" t="str">
        <f t="shared" si="15"/>
        <v/>
      </c>
      <c r="P161" t="b">
        <f t="shared" si="16"/>
        <v>0</v>
      </c>
    </row>
    <row r="162" spans="1:25" x14ac:dyDescent="0.25">
      <c r="A162" s="118"/>
      <c r="B162" s="871"/>
      <c r="C162" s="871"/>
      <c r="D162" s="880"/>
      <c r="E162" s="869"/>
      <c r="F162" s="880" t="s">
        <v>53</v>
      </c>
      <c r="G162" s="1199"/>
      <c r="H162" s="118"/>
      <c r="I162" s="118"/>
      <c r="J162" s="118"/>
      <c r="K162" s="118"/>
      <c r="L162" s="1691" t="str">
        <f t="shared" si="17"/>
        <v/>
      </c>
      <c r="M162" s="1692"/>
      <c r="N162" s="118"/>
      <c r="O162" t="str">
        <f t="shared" si="15"/>
        <v/>
      </c>
      <c r="P162" t="b">
        <f t="shared" si="16"/>
        <v>0</v>
      </c>
    </row>
    <row r="163" spans="1:25" x14ac:dyDescent="0.25">
      <c r="A163" s="118"/>
      <c r="B163" s="871"/>
      <c r="C163" s="871"/>
      <c r="D163" s="880"/>
      <c r="E163" s="869"/>
      <c r="F163" s="880" t="s">
        <v>53</v>
      </c>
      <c r="G163" s="1199"/>
      <c r="H163" s="118"/>
      <c r="I163" s="118"/>
      <c r="J163" s="118"/>
      <c r="K163" s="118"/>
      <c r="L163" s="1691" t="str">
        <f t="shared" si="17"/>
        <v/>
      </c>
      <c r="M163" s="1692"/>
      <c r="N163" s="118"/>
      <c r="O163" t="str">
        <f t="shared" si="15"/>
        <v/>
      </c>
      <c r="P163" t="b">
        <f t="shared" si="16"/>
        <v>0</v>
      </c>
      <c r="S163" t="str">
        <f>IFERROR(VLOOKUP(R163,$Q$186:$R$200,2,FALSE),"")</f>
        <v/>
      </c>
      <c r="T163" s="35" t="str">
        <f>IFERROR(SUMPRODUCT(T153:T162,U153:U162)/SUM(U153:U162),"")</f>
        <v/>
      </c>
      <c r="V163" t="str">
        <f>IFERROR(SUMPRODUCT(V153:V162,U153:U162)/SUM(U153:U162),"")</f>
        <v/>
      </c>
      <c r="W163" s="35" t="str">
        <f>IFERROR(SUMPRODUCT(W153:W162,X153:X162)/SUM(X153:X162),"")</f>
        <v/>
      </c>
      <c r="Y163" t="str">
        <f>IFERROR(SUMPRODUCT(Y153:Y162,X153:X162)/SUM(X153:X162),"")</f>
        <v/>
      </c>
    </row>
    <row r="164" spans="1:25" ht="18" customHeight="1" x14ac:dyDescent="0.25">
      <c r="A164" s="118"/>
      <c r="B164" s="118"/>
      <c r="C164" s="118"/>
      <c r="D164" s="118"/>
      <c r="E164" s="118"/>
      <c r="F164" s="903"/>
      <c r="G164" s="903"/>
      <c r="H164" s="118"/>
      <c r="I164" s="118"/>
      <c r="J164" s="118"/>
      <c r="K164" s="118"/>
      <c r="L164" s="118"/>
      <c r="M164" s="118"/>
      <c r="N164" s="118"/>
      <c r="T164" s="35"/>
    </row>
    <row r="165" spans="1:25" ht="18" customHeight="1" x14ac:dyDescent="0.25">
      <c r="A165" s="1119"/>
      <c r="B165" s="1647" t="s">
        <v>1484</v>
      </c>
      <c r="C165" s="1647"/>
      <c r="D165" s="1646" t="str">
        <f>IF(COUNTIF(P154:P162,0),"Please fill in complete information on number of stars",IF(OR(COUNTIF(F154:F163,"no star")&gt;0,COUNTIF(F154:F163,"1 star")&gt;0,COUNTIF(F154:F163,"2 stars")&gt;0,COUNTIF(F154:F163,"3 stars")&gt;0),"Some units have less than 4 stars, no points can be achieved.",IF(COUNTIF(F154:F163,"4 stars")&gt;0,"All units have at least 4 stars.",IF(COUNTIF(F154:F163,"5 stars")&gt;0,"All units have at least 5 stars.",""))))</f>
        <v/>
      </c>
      <c r="E165" s="1646"/>
      <c r="F165" s="1646"/>
      <c r="G165" s="1646"/>
      <c r="H165" s="118"/>
      <c r="I165" s="118"/>
      <c r="J165" s="118"/>
      <c r="K165" s="118"/>
      <c r="L165" s="118"/>
      <c r="M165" s="118"/>
      <c r="N165" s="118"/>
      <c r="T165" s="35"/>
    </row>
    <row r="166" spans="1:25" ht="18" customHeight="1" x14ac:dyDescent="0.25">
      <c r="A166" s="1119"/>
      <c r="B166" s="1647" t="s">
        <v>2205</v>
      </c>
      <c r="C166" s="1647"/>
      <c r="D166" s="1646" t="str">
        <f>IF(D165="All units have at least 5 stars.",IF(COUNTIF(O154:O163,0)&gt;0,"Not all units have CSPF values higher than 4.5",IF(COUNTIF(O154:O163,1)&gt;0,"All units have CSPF values higher than 4.5.",IF(COUNTIF(O154:O163,2)&gt;0,"All units have CSPF values higher than 5.5.",""))),IF(OR(D165="Please fill in complete information on number of stars",D165=""),"","Not applicable. Not all units have 5 stars."))</f>
        <v/>
      </c>
      <c r="E166" s="1646"/>
      <c r="F166" s="1646"/>
      <c r="G166" s="1646"/>
      <c r="H166" s="118"/>
      <c r="I166" s="118"/>
      <c r="J166" s="118"/>
      <c r="K166" s="118"/>
      <c r="L166" s="118"/>
      <c r="M166" s="118"/>
      <c r="N166" s="118"/>
      <c r="T166" s="35"/>
    </row>
    <row r="167" spans="1:25" ht="16.5" customHeight="1" x14ac:dyDescent="0.25">
      <c r="A167" s="118"/>
      <c r="B167" s="1210"/>
      <c r="C167" s="118"/>
      <c r="D167" s="118"/>
      <c r="E167" s="118"/>
      <c r="F167" s="118"/>
      <c r="G167" s="118"/>
      <c r="H167" s="118"/>
      <c r="I167" s="118"/>
      <c r="J167" s="118"/>
      <c r="K167" s="118"/>
      <c r="L167" s="118"/>
      <c r="M167" s="118"/>
      <c r="N167" s="118"/>
      <c r="Q167" s="35"/>
      <c r="R167" s="35"/>
      <c r="S167" s="35"/>
      <c r="T167" s="35"/>
      <c r="U167" s="35"/>
    </row>
    <row r="168" spans="1:25" ht="16.5" customHeight="1" x14ac:dyDescent="0.25">
      <c r="A168" s="874" t="s">
        <v>84</v>
      </c>
      <c r="B168" s="71"/>
      <c r="C168" s="71"/>
      <c r="D168" s="118"/>
      <c r="E168" s="118"/>
      <c r="F168" s="118"/>
      <c r="G168" s="118"/>
      <c r="H168" s="118"/>
      <c r="I168" s="118"/>
      <c r="J168" s="118"/>
      <c r="K168" s="118"/>
      <c r="L168" s="118"/>
      <c r="M168" s="118"/>
      <c r="N168" s="118"/>
      <c r="Q168" s="35"/>
      <c r="R168" s="35"/>
      <c r="S168" s="35"/>
      <c r="T168" s="35"/>
      <c r="U168" s="35"/>
    </row>
    <row r="169" spans="1:25" x14ac:dyDescent="0.25">
      <c r="A169" s="118"/>
      <c r="B169" s="118"/>
      <c r="C169" s="118"/>
      <c r="D169" s="118"/>
      <c r="E169" s="118"/>
      <c r="F169" s="118"/>
      <c r="G169" s="118"/>
      <c r="H169" s="118"/>
      <c r="I169" s="118"/>
      <c r="J169" s="118"/>
      <c r="K169" s="118"/>
      <c r="L169" s="118"/>
      <c r="M169" s="118"/>
      <c r="N169" s="118"/>
      <c r="Q169" s="35"/>
      <c r="R169" s="35"/>
      <c r="S169" s="35"/>
      <c r="U169" s="35"/>
    </row>
    <row r="170" spans="1:25" ht="21" customHeight="1" x14ac:dyDescent="0.25">
      <c r="A170" s="118"/>
      <c r="B170" s="1641" t="s">
        <v>85</v>
      </c>
      <c r="C170" s="1642"/>
      <c r="D170" s="1642"/>
      <c r="E170" s="1642"/>
      <c r="F170" s="1642"/>
      <c r="G170" s="870" t="s">
        <v>907</v>
      </c>
      <c r="H170" s="1638" t="s">
        <v>908</v>
      </c>
      <c r="I170" s="1639"/>
      <c r="J170" s="118"/>
      <c r="K170" s="118"/>
      <c r="L170" s="118"/>
      <c r="M170" s="118"/>
      <c r="N170" s="118"/>
      <c r="Q170" s="35"/>
      <c r="R170" s="35"/>
      <c r="S170" s="35"/>
      <c r="U170" s="35"/>
    </row>
    <row r="171" spans="1:25" ht="30" customHeight="1" x14ac:dyDescent="0.25">
      <c r="A171" s="118"/>
      <c r="B171" s="1648" t="str">
        <f>Submittals!G7</f>
        <v>• Technical data and/or photographs showing the number of stars under VNEEP labelling and the CSPF value of the air-conditioning units installed</v>
      </c>
      <c r="C171" s="1649" t="s">
        <v>248</v>
      </c>
      <c r="D171" s="1649"/>
      <c r="E171" s="1649"/>
      <c r="F171" s="1650"/>
      <c r="G171" s="871" t="s">
        <v>53</v>
      </c>
      <c r="H171" s="1689"/>
      <c r="I171" s="1690"/>
      <c r="J171" s="118"/>
      <c r="K171" s="118"/>
      <c r="L171" s="118"/>
      <c r="M171" s="118"/>
      <c r="N171" s="118"/>
      <c r="O171" s="35" t="str">
        <f>IF(OR(B171="/",B171="No evidence required at this submission stage"),"Yes",IF(G171="Submitted","Yes","No"))</f>
        <v>No</v>
      </c>
      <c r="Q171" s="35"/>
      <c r="R171" s="35"/>
      <c r="S171" s="35"/>
      <c r="U171" s="35"/>
    </row>
    <row r="172" spans="1:25" ht="27" customHeight="1" x14ac:dyDescent="0.25">
      <c r="A172" s="118"/>
      <c r="B172" s="1648" t="str">
        <f>Submittals!G8</f>
        <v>• Evidence of the air-conditioning units were installed such as photographs, invoices, etc.</v>
      </c>
      <c r="C172" s="1649" t="s">
        <v>248</v>
      </c>
      <c r="D172" s="1649"/>
      <c r="E172" s="1649"/>
      <c r="F172" s="1650"/>
      <c r="G172" s="871" t="s">
        <v>53</v>
      </c>
      <c r="H172" s="1689"/>
      <c r="I172" s="1690"/>
      <c r="J172" s="118"/>
      <c r="K172" s="118"/>
      <c r="L172" s="118"/>
      <c r="M172" s="118"/>
      <c r="N172" s="118"/>
      <c r="O172" s="35" t="str">
        <f>IF(OR(B172="/",B172="No evidence required at this submission stage"),"Yes",IF(G172="Submitted","Yes","No"))</f>
        <v>No</v>
      </c>
      <c r="U172" s="35"/>
    </row>
    <row r="173" spans="1:25" ht="18" customHeight="1" x14ac:dyDescent="0.25">
      <c r="A173" s="118"/>
      <c r="B173" s="118"/>
      <c r="C173" s="118"/>
      <c r="D173" s="118"/>
      <c r="E173" s="118"/>
      <c r="F173" s="118"/>
      <c r="G173" s="118"/>
      <c r="H173" s="118"/>
      <c r="I173" s="118"/>
      <c r="J173" s="118"/>
      <c r="K173" s="118"/>
      <c r="L173" s="118"/>
      <c r="M173" s="118"/>
      <c r="N173" s="118"/>
      <c r="Q173" s="35"/>
      <c r="R173" s="35"/>
      <c r="S173" s="35"/>
      <c r="U173" s="35"/>
    </row>
    <row r="174" spans="1:25" ht="16.5" customHeight="1" x14ac:dyDescent="0.25">
      <c r="A174" s="1688" t="s">
        <v>5</v>
      </c>
      <c r="B174" s="1688"/>
      <c r="C174" s="1688"/>
      <c r="D174" s="118"/>
      <c r="E174" s="118"/>
      <c r="F174" s="118"/>
      <c r="G174" s="118"/>
      <c r="H174" s="118"/>
      <c r="I174" s="118"/>
      <c r="J174" s="118"/>
      <c r="K174" s="118"/>
      <c r="L174" s="118"/>
      <c r="M174" s="118"/>
      <c r="N174" s="118"/>
      <c r="U174" s="35"/>
    </row>
    <row r="175" spans="1:25" x14ac:dyDescent="0.25">
      <c r="A175" s="118"/>
      <c r="B175" s="118"/>
      <c r="C175" s="118"/>
      <c r="D175" s="118"/>
      <c r="E175" s="118"/>
      <c r="F175" s="118"/>
      <c r="G175" s="118"/>
      <c r="H175" s="118"/>
      <c r="I175" s="118"/>
      <c r="J175" s="118"/>
      <c r="K175" s="118"/>
      <c r="L175" s="118"/>
      <c r="M175" s="118"/>
      <c r="N175" s="118"/>
    </row>
    <row r="176" spans="1:25" ht="18" customHeight="1" x14ac:dyDescent="0.25">
      <c r="A176" s="118"/>
      <c r="B176" s="102" t="s">
        <v>16</v>
      </c>
      <c r="C176" s="8">
        <f>IF(D166="All units have CSPF values higher than 5.5.",4,IF(D166="All units have CSPF values higher than 4.5.",3,IF(D165="All units have at least 5 stars.",2,IF(D165="All units have at least 4 stars.",1,0))))</f>
        <v>0</v>
      </c>
      <c r="D176" s="118"/>
      <c r="E176" s="118"/>
      <c r="F176" s="118"/>
      <c r="G176" s="118"/>
      <c r="H176" s="118"/>
      <c r="I176" s="118"/>
      <c r="J176" s="118"/>
      <c r="K176" s="118"/>
      <c r="L176" s="118"/>
      <c r="M176" s="118"/>
      <c r="N176" s="118"/>
    </row>
    <row r="177" spans="1:19" ht="18" customHeight="1" x14ac:dyDescent="0.25">
      <c r="A177" s="118"/>
      <c r="B177" s="102" t="s">
        <v>133</v>
      </c>
      <c r="C177" s="8" t="str">
        <f>IF(AND(COUNTIF(O171:O172,"Yes")=2,C176&gt;0),"Yes","No")</f>
        <v>No</v>
      </c>
      <c r="D177" s="118"/>
      <c r="E177" s="118"/>
      <c r="F177" s="118"/>
      <c r="G177" s="118"/>
      <c r="H177" s="118"/>
      <c r="I177" s="118"/>
      <c r="J177" s="118"/>
      <c r="K177" s="118"/>
      <c r="L177" s="118"/>
      <c r="M177" s="118"/>
      <c r="N177" s="118"/>
    </row>
    <row r="178" spans="1:19" ht="18" customHeight="1" x14ac:dyDescent="0.25">
      <c r="A178" s="118"/>
      <c r="B178" s="118"/>
      <c r="C178" s="118"/>
      <c r="D178" s="118"/>
      <c r="E178" s="118"/>
      <c r="F178" s="118"/>
      <c r="G178" s="118"/>
      <c r="H178" s="118"/>
      <c r="I178" s="118"/>
      <c r="J178" s="118"/>
      <c r="K178" s="118"/>
      <c r="L178" s="118"/>
      <c r="M178" s="118"/>
      <c r="N178" s="118"/>
    </row>
    <row r="179" spans="1:19" ht="18" customHeight="1" x14ac:dyDescent="0.25">
      <c r="A179" s="1667" t="s">
        <v>1533</v>
      </c>
      <c r="B179" s="1667"/>
      <c r="C179" s="1667"/>
      <c r="D179" s="1667"/>
      <c r="E179" s="1667"/>
      <c r="F179" s="1667"/>
      <c r="G179" s="1667"/>
      <c r="H179" s="1667"/>
      <c r="I179" s="1667"/>
      <c r="J179" s="1667"/>
      <c r="K179" s="1667"/>
      <c r="L179" s="1667"/>
      <c r="M179" s="1667"/>
      <c r="N179" s="1667"/>
    </row>
    <row r="180" spans="1:19" ht="16.5" customHeight="1" x14ac:dyDescent="0.25">
      <c r="A180" s="119"/>
      <c r="B180" s="119"/>
      <c r="C180" s="119"/>
      <c r="D180" s="119"/>
      <c r="E180" s="119"/>
      <c r="F180" s="119"/>
      <c r="G180" s="119"/>
      <c r="H180" s="119"/>
      <c r="I180" s="119"/>
      <c r="J180" s="119"/>
      <c r="K180" s="119"/>
      <c r="L180" s="119"/>
      <c r="M180" s="119"/>
      <c r="N180" s="119"/>
      <c r="O180" s="128" t="s">
        <v>41</v>
      </c>
    </row>
    <row r="181" spans="1:19" ht="16.5" customHeight="1" x14ac:dyDescent="0.25">
      <c r="A181" s="1688" t="s">
        <v>102</v>
      </c>
      <c r="B181" s="1688"/>
      <c r="C181" s="1688"/>
      <c r="D181" s="119"/>
      <c r="E181" s="119"/>
      <c r="F181" s="119"/>
      <c r="G181" s="119"/>
      <c r="H181" s="119"/>
      <c r="I181" s="119"/>
      <c r="J181" s="119"/>
      <c r="K181" s="119"/>
      <c r="L181" s="119"/>
      <c r="M181" s="119"/>
      <c r="N181" s="119"/>
      <c r="O181" s="35" t="s">
        <v>53</v>
      </c>
    </row>
    <row r="182" spans="1:19" ht="16.5" customHeight="1" x14ac:dyDescent="0.25">
      <c r="A182" s="119"/>
      <c r="B182" s="119"/>
      <c r="C182" s="119"/>
      <c r="D182" s="119"/>
      <c r="E182" s="119"/>
      <c r="F182" s="119"/>
      <c r="G182" s="119"/>
      <c r="H182" s="119"/>
      <c r="I182" s="119"/>
      <c r="J182" s="119"/>
      <c r="K182" s="119"/>
      <c r="L182" s="119"/>
      <c r="M182" s="119"/>
      <c r="N182" s="119"/>
      <c r="O182" s="128" t="s">
        <v>43</v>
      </c>
    </row>
    <row r="183" spans="1:19" ht="16.5" customHeight="1" x14ac:dyDescent="0.25">
      <c r="A183" s="119"/>
      <c r="B183" s="900" t="s">
        <v>2418</v>
      </c>
      <c r="C183" s="119"/>
      <c r="D183" s="119"/>
      <c r="E183" s="119"/>
      <c r="F183" s="119"/>
      <c r="G183" s="119"/>
      <c r="H183" s="119"/>
      <c r="I183" s="119"/>
      <c r="J183" s="119"/>
      <c r="K183" s="119"/>
      <c r="L183" s="119"/>
      <c r="M183" s="119"/>
      <c r="N183" s="119"/>
      <c r="O183" s="129" t="s">
        <v>44</v>
      </c>
    </row>
    <row r="184" spans="1:19" x14ac:dyDescent="0.25">
      <c r="A184" s="119"/>
      <c r="B184" s="119"/>
      <c r="C184" s="119"/>
      <c r="D184" s="119"/>
      <c r="E184" s="119"/>
      <c r="F184" s="119"/>
      <c r="G184" s="119"/>
      <c r="H184" s="119"/>
      <c r="I184" s="119"/>
      <c r="J184" s="119"/>
      <c r="K184" s="119"/>
      <c r="L184" s="119"/>
      <c r="M184" s="119"/>
      <c r="N184" s="119"/>
      <c r="O184" s="129" t="s">
        <v>53</v>
      </c>
    </row>
    <row r="185" spans="1:19" ht="17.25" customHeight="1" x14ac:dyDescent="0.25">
      <c r="A185" s="119"/>
      <c r="B185" s="901" t="s">
        <v>2419</v>
      </c>
      <c r="C185" s="115"/>
      <c r="D185" s="119"/>
      <c r="E185" s="119"/>
      <c r="F185" s="119"/>
      <c r="G185" s="119"/>
      <c r="H185" s="119"/>
      <c r="I185" s="119"/>
      <c r="J185" s="119"/>
      <c r="K185" s="119"/>
      <c r="L185" s="119"/>
      <c r="M185" s="119"/>
      <c r="N185" s="119"/>
      <c r="O185" s="129" t="s">
        <v>858</v>
      </c>
      <c r="P185" s="35"/>
      <c r="Q185" s="35"/>
      <c r="R185" s="35"/>
      <c r="S185" s="35"/>
    </row>
    <row r="186" spans="1:19" ht="18" customHeight="1" x14ac:dyDescent="0.25">
      <c r="A186" s="119"/>
      <c r="B186" s="901" t="s">
        <v>2421</v>
      </c>
      <c r="C186" s="115"/>
      <c r="D186" s="119"/>
      <c r="E186" s="119"/>
      <c r="F186" s="119"/>
      <c r="G186" s="119"/>
      <c r="H186" s="119"/>
      <c r="I186" s="119"/>
      <c r="J186" s="119"/>
      <c r="K186" s="119"/>
      <c r="L186" s="119"/>
      <c r="M186" s="119"/>
      <c r="N186" s="119"/>
      <c r="O186" s="129" t="s">
        <v>138</v>
      </c>
      <c r="P186" t="s">
        <v>41</v>
      </c>
      <c r="Q186" t="s">
        <v>45</v>
      </c>
      <c r="R186" s="6" t="s">
        <v>2444</v>
      </c>
      <c r="S186" s="35"/>
    </row>
    <row r="187" spans="1:19" x14ac:dyDescent="0.25">
      <c r="A187" s="119"/>
      <c r="B187" s="119"/>
      <c r="C187" s="119"/>
      <c r="D187" s="119"/>
      <c r="E187" s="119"/>
      <c r="F187" s="119"/>
      <c r="G187" s="119"/>
      <c r="H187" s="119"/>
      <c r="I187" s="119"/>
      <c r="J187" s="119"/>
      <c r="K187" s="119"/>
      <c r="L187" s="119"/>
      <c r="M187" s="119"/>
      <c r="N187" s="119"/>
      <c r="O187" s="129" t="s">
        <v>616</v>
      </c>
    </row>
    <row r="188" spans="1:19" ht="23.25" customHeight="1" thickBot="1" x14ac:dyDescent="0.3">
      <c r="A188" s="1653" t="s">
        <v>2415</v>
      </c>
      <c r="B188" s="1654"/>
      <c r="C188" s="1654"/>
      <c r="D188" s="1654"/>
      <c r="E188" s="1654"/>
      <c r="F188" s="1654"/>
      <c r="G188" s="1653" t="s">
        <v>2417</v>
      </c>
      <c r="H188" s="1654"/>
      <c r="I188" s="1654"/>
      <c r="J188" s="1654"/>
      <c r="K188" s="1654"/>
      <c r="L188" s="1654"/>
      <c r="M188" s="1654"/>
      <c r="N188" s="119"/>
      <c r="O188" s="129" t="s">
        <v>858</v>
      </c>
      <c r="P188" t="s">
        <v>43</v>
      </c>
      <c r="Q188" t="s">
        <v>51</v>
      </c>
      <c r="R188" s="28">
        <v>2.8</v>
      </c>
      <c r="S188" s="35"/>
    </row>
    <row r="189" spans="1:19" ht="15.75" customHeight="1" thickBot="1" x14ac:dyDescent="0.3">
      <c r="A189" s="119"/>
      <c r="B189" s="119"/>
      <c r="C189" s="119"/>
      <c r="D189" s="119"/>
      <c r="E189" s="119"/>
      <c r="F189" s="119"/>
      <c r="G189" s="119"/>
      <c r="H189" s="119"/>
      <c r="I189" s="119"/>
      <c r="J189" s="119"/>
      <c r="K189" s="119"/>
      <c r="L189" s="119"/>
      <c r="M189" s="119"/>
      <c r="N189" s="119"/>
      <c r="O189" s="129" t="s">
        <v>2450</v>
      </c>
      <c r="P189" s="24" t="s">
        <v>44</v>
      </c>
      <c r="Q189" t="s">
        <v>136</v>
      </c>
      <c r="R189" s="28">
        <v>3.1</v>
      </c>
      <c r="S189" s="35"/>
    </row>
    <row r="190" spans="1:19" ht="23.25" customHeight="1" thickBot="1" x14ac:dyDescent="0.3">
      <c r="A190" s="119"/>
      <c r="B190" s="119"/>
      <c r="C190" s="119"/>
      <c r="D190" s="119"/>
      <c r="E190" s="119"/>
      <c r="F190" s="119"/>
      <c r="G190" s="119"/>
      <c r="H190" s="119"/>
      <c r="I190" s="119"/>
      <c r="J190" s="119"/>
      <c r="K190" s="119"/>
      <c r="L190" s="119"/>
      <c r="M190" s="119"/>
      <c r="N190" s="119"/>
      <c r="O190" s="129" t="s">
        <v>617</v>
      </c>
      <c r="P190" s="24"/>
      <c r="Q190" s="25" t="s">
        <v>249</v>
      </c>
      <c r="R190" s="28">
        <v>3</v>
      </c>
      <c r="S190" s="35"/>
    </row>
    <row r="191" spans="1:19" ht="27" customHeight="1" thickBot="1" x14ac:dyDescent="0.3">
      <c r="A191" s="119"/>
      <c r="B191" s="119"/>
      <c r="C191" s="119"/>
      <c r="D191" s="119"/>
      <c r="E191" s="119"/>
      <c r="F191" s="119"/>
      <c r="G191" s="119"/>
      <c r="H191" s="119"/>
      <c r="I191" s="119"/>
      <c r="J191" s="119"/>
      <c r="K191" s="119"/>
      <c r="L191" s="119"/>
      <c r="M191" s="119"/>
      <c r="N191" s="119"/>
      <c r="P191" s="35"/>
      <c r="Q191" s="25" t="s">
        <v>2443</v>
      </c>
      <c r="R191" s="28">
        <v>2.8</v>
      </c>
    </row>
    <row r="192" spans="1:19" ht="15" customHeight="1" thickBot="1" x14ac:dyDescent="0.3">
      <c r="A192" s="119"/>
      <c r="B192" s="119"/>
      <c r="C192" s="119"/>
      <c r="D192" s="119"/>
      <c r="E192" s="119"/>
      <c r="F192" s="119"/>
      <c r="G192" s="119"/>
      <c r="H192" s="119"/>
      <c r="I192" s="119"/>
      <c r="J192" s="119"/>
      <c r="K192" s="119"/>
      <c r="L192" s="119"/>
      <c r="M192" s="119"/>
      <c r="N192" s="119"/>
      <c r="O192" s="129"/>
      <c r="P192" s="24" t="s">
        <v>48</v>
      </c>
      <c r="Q192" s="29" t="s">
        <v>52</v>
      </c>
      <c r="R192" s="27">
        <v>3.81</v>
      </c>
      <c r="S192" s="35"/>
    </row>
    <row r="193" spans="1:21" ht="15" customHeight="1" thickBot="1" x14ac:dyDescent="0.3">
      <c r="A193" s="119"/>
      <c r="B193" s="119"/>
      <c r="C193" s="119"/>
      <c r="D193" s="119"/>
      <c r="E193" s="119"/>
      <c r="F193" s="119"/>
      <c r="G193" s="119"/>
      <c r="H193" s="119"/>
      <c r="I193" s="119"/>
      <c r="J193" s="119"/>
      <c r="K193" s="119"/>
      <c r="L193" s="119"/>
      <c r="M193" s="119"/>
      <c r="N193" s="119"/>
      <c r="O193" s="129"/>
      <c r="P193" s="24"/>
      <c r="Q193" s="26" t="s">
        <v>49</v>
      </c>
      <c r="R193" s="28">
        <v>3.28</v>
      </c>
      <c r="S193" s="35"/>
    </row>
    <row r="194" spans="1:21" ht="15" customHeight="1" thickBot="1" x14ac:dyDescent="0.3">
      <c r="A194" s="119"/>
      <c r="B194" s="119"/>
      <c r="C194" s="119"/>
      <c r="D194" s="119"/>
      <c r="E194" s="119"/>
      <c r="F194" s="119"/>
      <c r="G194" s="119"/>
      <c r="H194" s="119"/>
      <c r="I194" s="119"/>
      <c r="J194" s="119"/>
      <c r="K194" s="119"/>
      <c r="L194" s="119"/>
      <c r="M194" s="119"/>
      <c r="N194" s="119"/>
      <c r="O194" s="129"/>
      <c r="P194" s="24"/>
      <c r="Q194" s="26" t="s">
        <v>50</v>
      </c>
      <c r="R194" s="28">
        <v>3.22</v>
      </c>
    </row>
    <row r="195" spans="1:21" ht="15" customHeight="1" thickBot="1" x14ac:dyDescent="0.3">
      <c r="A195" s="119"/>
      <c r="B195" s="119"/>
      <c r="C195" s="119"/>
      <c r="D195" s="119"/>
      <c r="E195" s="119"/>
      <c r="F195" s="119"/>
      <c r="G195" s="119"/>
      <c r="H195" s="119"/>
      <c r="I195" s="119"/>
      <c r="J195" s="119"/>
      <c r="K195" s="119"/>
      <c r="L195" s="119"/>
      <c r="M195" s="119"/>
      <c r="N195" s="119"/>
      <c r="O195" s="129"/>
      <c r="Q195" s="26" t="s">
        <v>2445</v>
      </c>
      <c r="R195" s="28">
        <v>2.93</v>
      </c>
    </row>
    <row r="196" spans="1:21" ht="24.75" customHeight="1" thickBot="1" x14ac:dyDescent="0.3">
      <c r="A196" s="1653" t="s">
        <v>2416</v>
      </c>
      <c r="B196" s="1654"/>
      <c r="C196" s="1654"/>
      <c r="D196" s="1654"/>
      <c r="E196" s="1654"/>
      <c r="F196" s="1654"/>
      <c r="G196" s="119"/>
      <c r="H196" s="119"/>
      <c r="I196" s="119"/>
      <c r="J196" s="119"/>
      <c r="K196" s="119"/>
      <c r="L196" s="119"/>
      <c r="M196" s="119"/>
      <c r="N196" s="119"/>
      <c r="O196" s="24"/>
      <c r="P196" s="24"/>
      <c r="Q196" s="26" t="s">
        <v>2446</v>
      </c>
      <c r="R196" s="28">
        <v>2.84</v>
      </c>
    </row>
    <row r="197" spans="1:21" ht="15" customHeight="1" thickBot="1" x14ac:dyDescent="0.3">
      <c r="A197" s="119"/>
      <c r="B197" s="119"/>
      <c r="C197" s="119"/>
      <c r="D197" s="119"/>
      <c r="E197" s="119"/>
      <c r="F197" s="119"/>
      <c r="G197" s="119"/>
      <c r="H197" s="119"/>
      <c r="I197" s="119"/>
      <c r="J197" s="119"/>
      <c r="K197" s="119"/>
      <c r="L197" s="119"/>
      <c r="M197" s="119"/>
      <c r="N197" s="119"/>
      <c r="O197" s="24"/>
      <c r="P197" s="24" t="s">
        <v>138</v>
      </c>
      <c r="Q197" s="29" t="s">
        <v>2447</v>
      </c>
      <c r="R197" s="28">
        <v>3.54</v>
      </c>
    </row>
    <row r="198" spans="1:21" ht="18.75" customHeight="1" thickBot="1" x14ac:dyDescent="0.3">
      <c r="A198" s="119"/>
      <c r="B198" s="119"/>
      <c r="C198" s="119"/>
      <c r="D198" s="119"/>
      <c r="E198" s="119"/>
      <c r="F198" s="119"/>
      <c r="G198" s="119"/>
      <c r="H198" s="119"/>
      <c r="I198" s="119"/>
      <c r="J198" s="119"/>
      <c r="K198" s="119"/>
      <c r="L198" s="119"/>
      <c r="M198" s="119"/>
      <c r="N198" s="119"/>
      <c r="Q198" s="26" t="s">
        <v>137</v>
      </c>
      <c r="R198" s="28">
        <v>3.66</v>
      </c>
    </row>
    <row r="199" spans="1:21" ht="18.75" customHeight="1" thickBot="1" x14ac:dyDescent="0.3">
      <c r="A199" s="119"/>
      <c r="B199" s="119"/>
      <c r="C199" s="119"/>
      <c r="D199" s="119"/>
      <c r="E199" s="119"/>
      <c r="F199" s="119"/>
      <c r="G199" s="119"/>
      <c r="H199" s="119"/>
      <c r="I199" s="119"/>
      <c r="J199" s="119"/>
      <c r="K199" s="119"/>
      <c r="L199" s="119"/>
      <c r="M199" s="119"/>
      <c r="N199" s="119"/>
      <c r="Q199" s="26" t="s">
        <v>2448</v>
      </c>
      <c r="R199" s="30">
        <v>3.63</v>
      </c>
    </row>
    <row r="200" spans="1:21" s="35" customFormat="1" ht="18.75" customHeight="1" thickBot="1" x14ac:dyDescent="0.3">
      <c r="A200" s="119"/>
      <c r="B200" s="119"/>
      <c r="C200" s="119"/>
      <c r="D200" s="119"/>
      <c r="E200" s="119"/>
      <c r="F200" s="119"/>
      <c r="G200" s="119"/>
      <c r="H200" s="119"/>
      <c r="I200" s="119"/>
      <c r="J200" s="119"/>
      <c r="K200" s="119"/>
      <c r="L200" s="119"/>
      <c r="M200" s="119"/>
      <c r="N200" s="119"/>
      <c r="O200"/>
      <c r="P200"/>
      <c r="Q200" s="26" t="s">
        <v>2449</v>
      </c>
      <c r="R200" s="30">
        <v>3.57</v>
      </c>
      <c r="S200"/>
      <c r="T200"/>
      <c r="U200"/>
    </row>
    <row r="201" spans="1:21" s="35" customFormat="1" ht="18.75" customHeight="1" thickBot="1" x14ac:dyDescent="0.3">
      <c r="A201" s="119"/>
      <c r="B201" s="119"/>
      <c r="C201" s="119"/>
      <c r="D201" s="119"/>
      <c r="E201" s="119"/>
      <c r="F201" s="119"/>
      <c r="G201" s="119"/>
      <c r="H201" s="119"/>
      <c r="I201" s="119"/>
      <c r="J201" s="119"/>
      <c r="K201" s="119"/>
      <c r="L201" s="119"/>
      <c r="M201" s="119"/>
      <c r="N201" s="119"/>
      <c r="O201"/>
      <c r="P201" s="129" t="s">
        <v>616</v>
      </c>
      <c r="Q201" t="s">
        <v>618</v>
      </c>
      <c r="R201" s="441">
        <v>2.8</v>
      </c>
      <c r="S201"/>
      <c r="T201"/>
      <c r="U201"/>
    </row>
    <row r="202" spans="1:21" s="35" customFormat="1" ht="18.75" customHeight="1" thickBot="1" x14ac:dyDescent="0.3">
      <c r="A202" s="119"/>
      <c r="B202" s="119"/>
      <c r="C202" s="119"/>
      <c r="D202" s="119"/>
      <c r="E202" s="119"/>
      <c r="F202" s="119"/>
      <c r="G202" s="119"/>
      <c r="H202" s="119"/>
      <c r="I202" s="119"/>
      <c r="J202" s="119"/>
      <c r="K202" s="119"/>
      <c r="L202" s="119"/>
      <c r="M202" s="119"/>
      <c r="N202" s="119"/>
      <c r="O202"/>
      <c r="P202" s="129" t="s">
        <v>2450</v>
      </c>
      <c r="Q202" s="29" t="s">
        <v>2451</v>
      </c>
      <c r="R202" s="441">
        <v>4.51</v>
      </c>
      <c r="S202"/>
      <c r="T202"/>
      <c r="U202"/>
    </row>
    <row r="203" spans="1:21" s="35" customFormat="1" ht="18.75" customHeight="1" x14ac:dyDescent="0.25">
      <c r="A203" s="119"/>
      <c r="B203" s="119"/>
      <c r="C203" s="119"/>
      <c r="D203" s="119"/>
      <c r="E203" s="119"/>
      <c r="F203" s="119"/>
      <c r="G203" s="119"/>
      <c r="H203" s="119"/>
      <c r="I203" s="119"/>
      <c r="J203" s="119"/>
      <c r="K203" s="119"/>
      <c r="L203" s="119"/>
      <c r="M203" s="119"/>
      <c r="N203" s="119"/>
      <c r="O203"/>
      <c r="P203" s="129"/>
      <c r="Q203" s="1243" t="s">
        <v>2452</v>
      </c>
      <c r="R203" s="441">
        <v>4.53</v>
      </c>
      <c r="S203"/>
      <c r="T203"/>
      <c r="U203"/>
    </row>
    <row r="204" spans="1:21" s="35" customFormat="1" ht="18.75" customHeight="1" x14ac:dyDescent="0.25">
      <c r="A204" s="119"/>
      <c r="B204" s="119"/>
      <c r="C204" s="119"/>
      <c r="D204" s="119"/>
      <c r="E204" s="119"/>
      <c r="F204" s="119"/>
      <c r="G204" s="119"/>
      <c r="H204" s="119"/>
      <c r="I204" s="119"/>
      <c r="J204" s="119"/>
      <c r="K204" s="119"/>
      <c r="L204" s="119"/>
      <c r="M204" s="119"/>
      <c r="N204" s="119"/>
      <c r="O204"/>
      <c r="P204" s="129"/>
      <c r="Q204" s="1243" t="s">
        <v>2453</v>
      </c>
      <c r="R204" s="441">
        <v>5.17</v>
      </c>
      <c r="S204"/>
      <c r="T204"/>
      <c r="U204"/>
    </row>
    <row r="205" spans="1:21" s="35" customFormat="1" ht="21" customHeight="1" thickBot="1" x14ac:dyDescent="0.3">
      <c r="A205" s="119"/>
      <c r="B205" s="119"/>
      <c r="C205" s="119"/>
      <c r="D205" s="119"/>
      <c r="E205" s="119"/>
      <c r="F205" s="119"/>
      <c r="G205" s="119"/>
      <c r="H205" s="119"/>
      <c r="I205" s="119"/>
      <c r="J205" s="119"/>
      <c r="K205" s="119"/>
      <c r="L205" s="119"/>
      <c r="M205" s="119"/>
      <c r="N205" s="119"/>
      <c r="O205"/>
      <c r="Q205" s="1243" t="s">
        <v>2454</v>
      </c>
      <c r="R205" s="441">
        <v>5.67</v>
      </c>
      <c r="S205"/>
      <c r="T205"/>
      <c r="U205"/>
    </row>
    <row r="206" spans="1:21" s="35" customFormat="1" ht="21" customHeight="1" thickBot="1" x14ac:dyDescent="0.3">
      <c r="A206" s="119"/>
      <c r="B206" s="119"/>
      <c r="C206" s="119"/>
      <c r="D206" s="119"/>
      <c r="E206" s="119"/>
      <c r="F206" s="119"/>
      <c r="G206" s="119"/>
      <c r="H206" s="119"/>
      <c r="I206" s="119"/>
      <c r="J206" s="119"/>
      <c r="K206" s="119"/>
      <c r="L206" s="119"/>
      <c r="M206" s="119"/>
      <c r="N206" s="119"/>
      <c r="O206"/>
      <c r="P206" s="129" t="s">
        <v>617</v>
      </c>
      <c r="Q206" s="29" t="s">
        <v>2455</v>
      </c>
      <c r="R206" s="441">
        <v>5.55</v>
      </c>
      <c r="S206"/>
      <c r="T206"/>
      <c r="U206"/>
    </row>
    <row r="207" spans="1:21" s="35" customFormat="1" ht="21" customHeight="1" x14ac:dyDescent="0.25">
      <c r="A207" s="119"/>
      <c r="B207" s="119"/>
      <c r="C207" s="119"/>
      <c r="D207" s="119"/>
      <c r="E207" s="119"/>
      <c r="F207" s="119"/>
      <c r="G207" s="119"/>
      <c r="H207" s="119"/>
      <c r="I207" s="119"/>
      <c r="J207" s="119"/>
      <c r="K207" s="119"/>
      <c r="L207" s="119"/>
      <c r="M207" s="119"/>
      <c r="N207" s="119"/>
      <c r="O207"/>
      <c r="P207"/>
      <c r="Q207" s="1243" t="s">
        <v>2456</v>
      </c>
      <c r="R207" s="441">
        <v>6.11</v>
      </c>
      <c r="S207"/>
      <c r="T207"/>
      <c r="U207"/>
    </row>
    <row r="208" spans="1:21" s="35" customFormat="1" ht="21" customHeight="1" x14ac:dyDescent="0.25">
      <c r="A208" s="119"/>
      <c r="B208" s="119"/>
      <c r="C208" s="119"/>
      <c r="D208" s="119"/>
      <c r="E208" s="119"/>
      <c r="F208" s="119"/>
      <c r="G208" s="119"/>
      <c r="H208" s="119"/>
      <c r="I208" s="119"/>
      <c r="J208" s="119"/>
      <c r="K208" s="119"/>
      <c r="L208" s="119"/>
      <c r="M208" s="119"/>
      <c r="N208" s="119"/>
      <c r="O208"/>
      <c r="P208"/>
      <c r="Q208" s="1243" t="s">
        <v>2457</v>
      </c>
      <c r="R208" s="441">
        <v>6.17</v>
      </c>
      <c r="S208"/>
      <c r="T208"/>
      <c r="U208"/>
    </row>
    <row r="209" spans="1:25" s="35" customFormat="1" ht="21" customHeight="1" x14ac:dyDescent="0.25">
      <c r="A209" s="119"/>
      <c r="B209" s="119"/>
      <c r="C209" s="119"/>
      <c r="D209" s="119"/>
      <c r="E209" s="119"/>
      <c r="F209" s="119"/>
      <c r="G209" s="119"/>
      <c r="H209" s="119"/>
      <c r="I209" s="119"/>
      <c r="J209" s="119"/>
      <c r="K209" s="119"/>
      <c r="L209" s="119"/>
      <c r="M209" s="119"/>
      <c r="N209" s="119"/>
      <c r="O209"/>
      <c r="P209"/>
      <c r="Q209"/>
      <c r="R209"/>
      <c r="S209"/>
      <c r="T209"/>
      <c r="U209"/>
    </row>
    <row r="210" spans="1:25" ht="16.5" customHeight="1" x14ac:dyDescent="0.25">
      <c r="A210" s="159" t="s">
        <v>6</v>
      </c>
      <c r="B210" s="71"/>
      <c r="C210" s="71"/>
      <c r="D210" s="119"/>
      <c r="E210" s="119"/>
      <c r="F210" s="119"/>
      <c r="G210" s="119"/>
      <c r="H210" s="119"/>
      <c r="I210" s="119"/>
      <c r="J210" s="119"/>
      <c r="K210" s="119"/>
      <c r="L210" s="119"/>
      <c r="M210" s="119"/>
      <c r="N210" s="119"/>
    </row>
    <row r="211" spans="1:25" ht="15" customHeight="1" x14ac:dyDescent="0.25">
      <c r="A211" s="119"/>
      <c r="B211" s="119"/>
      <c r="C211" s="119"/>
      <c r="D211" s="119"/>
      <c r="E211" s="119"/>
      <c r="F211" s="119"/>
      <c r="G211" s="119"/>
      <c r="H211" s="119"/>
      <c r="I211" s="119"/>
      <c r="J211" s="119"/>
      <c r="K211" s="119"/>
      <c r="L211" s="119"/>
      <c r="M211" s="119"/>
      <c r="N211" s="119"/>
    </row>
    <row r="212" spans="1:25" ht="15" customHeight="1" x14ac:dyDescent="0.25">
      <c r="A212" s="119"/>
      <c r="B212" s="1239" t="s">
        <v>2430</v>
      </c>
      <c r="C212" s="119"/>
      <c r="D212" s="119"/>
      <c r="E212" s="119"/>
      <c r="F212" s="119"/>
      <c r="G212" s="119"/>
      <c r="H212" s="119"/>
      <c r="I212" s="119"/>
      <c r="J212" s="119"/>
      <c r="K212" s="119"/>
      <c r="L212" s="119"/>
      <c r="M212" s="119"/>
      <c r="N212" s="119"/>
    </row>
    <row r="213" spans="1:25" ht="12.75" customHeight="1" x14ac:dyDescent="0.25">
      <c r="A213" s="119"/>
      <c r="B213" s="119"/>
      <c r="C213" s="119"/>
      <c r="D213" s="119"/>
      <c r="E213" s="119"/>
      <c r="F213" s="119"/>
      <c r="G213" s="119"/>
      <c r="H213" s="119"/>
      <c r="I213" s="119"/>
      <c r="J213" s="119"/>
      <c r="K213" s="119"/>
      <c r="L213" s="119"/>
      <c r="M213" s="119"/>
      <c r="N213" s="119"/>
    </row>
    <row r="214" spans="1:25" ht="30" x14ac:dyDescent="0.25">
      <c r="A214" s="119"/>
      <c r="B214" s="1236" t="s">
        <v>47</v>
      </c>
      <c r="C214" s="1233" t="s">
        <v>46</v>
      </c>
      <c r="D214" s="1235" t="s">
        <v>42</v>
      </c>
      <c r="E214" s="1235" t="s">
        <v>8</v>
      </c>
      <c r="F214" s="1233" t="s">
        <v>1573</v>
      </c>
      <c r="G214" s="1233" t="s">
        <v>1574</v>
      </c>
      <c r="H214" s="1235" t="s">
        <v>2422</v>
      </c>
      <c r="I214" s="1233" t="s">
        <v>2424</v>
      </c>
      <c r="J214" s="1638" t="s">
        <v>12</v>
      </c>
      <c r="K214" s="1639"/>
      <c r="L214" s="119"/>
      <c r="M214" s="119"/>
      <c r="N214" s="119"/>
      <c r="Q214" t="s">
        <v>45</v>
      </c>
      <c r="R214" s="6" t="s">
        <v>2425</v>
      </c>
      <c r="S214" s="1211" t="s">
        <v>2208</v>
      </c>
      <c r="T214" t="s">
        <v>619</v>
      </c>
      <c r="U214" t="s">
        <v>620</v>
      </c>
      <c r="V214" t="s">
        <v>623</v>
      </c>
      <c r="W214" t="s">
        <v>621</v>
      </c>
      <c r="X214" t="s">
        <v>622</v>
      </c>
      <c r="Y214" t="s">
        <v>624</v>
      </c>
    </row>
    <row r="215" spans="1:25" x14ac:dyDescent="0.25">
      <c r="A215" s="119"/>
      <c r="B215" s="1231"/>
      <c r="C215" s="1231"/>
      <c r="D215" s="1231" t="s">
        <v>53</v>
      </c>
      <c r="E215" s="1237"/>
      <c r="F215" s="1231"/>
      <c r="G215" s="1231"/>
      <c r="H215" s="1231"/>
      <c r="I215" s="940" t="str">
        <f t="shared" ref="I215:I229" si="18">R215</f>
        <v/>
      </c>
      <c r="J215" s="1640"/>
      <c r="K215" s="1640"/>
      <c r="L215" s="1635" t="str">
        <f>IF(P215="N/A",IF(D215="split air-conditioner","","Unit type shouldn't be split air-conditioner"),"")</f>
        <v/>
      </c>
      <c r="M215" s="1636"/>
      <c r="N215" s="119"/>
      <c r="O215">
        <f t="shared" ref="O215:O229" si="19">IF(OR(D215="Select",D215="",L215&lt;&gt;""),0,E215*G215)</f>
        <v>0</v>
      </c>
      <c r="P215" t="str">
        <f>IF(OR(D215="Select",G215=""),"",IF(D215=$P$188,$Q$188,IF(D215=$P$189,IF(G215&lt;4.5,$Q$189,IF(G215&lt;7,$Q$190,IF(G215&lt;=12,$Q$191,"N/A"))))))</f>
        <v/>
      </c>
      <c r="Q215" t="str">
        <f t="shared" ref="Q215:Q229" si="20">IF(OR(D215="Select",G215=""),"",IF(D215=$P$201,$Q$201,IF(D215=$P$202,$Q$202,IF(D215=$P$99,IF(G215&lt;528,$Q$203,IF(G215&lt;1055,$Q$204,$Q$205)),IF(D215=$P$206,IF(G215&lt;528,$Q$206,IF(G215&lt;1055,$Q$207,$Q$208)))))))</f>
        <v/>
      </c>
      <c r="R215" t="str">
        <f t="shared" ref="R215:R229" si="21">IFERROR(IF(Q215=FALSE,VLOOKUP(P215,$Q$186:$R$208,2,FALSE),IF(P215=FALSE,VLOOKUP(Q215,$Q$186:$R$208,2,FALSE),"")),"")</f>
        <v/>
      </c>
      <c r="S215" t="str">
        <f t="shared" ref="S215:S229" si="22">IF(OR(D215="Select",D215=""),"",IF(COUNTIF($O$182:$O$186,D215)=0,"chiller","direct AC"))</f>
        <v/>
      </c>
      <c r="T215">
        <f t="shared" ref="T215:T229" si="23">IF(OR(S215="chiller",S215=""),0,H215)</f>
        <v>0</v>
      </c>
      <c r="U215">
        <f t="shared" ref="U215:U229" si="24">IF(OR(S215="chiller",S215=""),0,O215)</f>
        <v>0</v>
      </c>
      <c r="V215">
        <f>IF(OR(S215="chiller",S215=""),0,R215)</f>
        <v>0</v>
      </c>
      <c r="W215">
        <f t="shared" ref="W215:W229" si="25">IF(S215="chiller",H215,0)</f>
        <v>0</v>
      </c>
      <c r="X215">
        <f t="shared" ref="X215:X229" si="26">IF(S215="chiller",O215,0)</f>
        <v>0</v>
      </c>
      <c r="Y215">
        <f>IF(S215="chiller",R215,0)</f>
        <v>0</v>
      </c>
    </row>
    <row r="216" spans="1:25" x14ac:dyDescent="0.25">
      <c r="A216" s="119"/>
      <c r="B216" s="1230"/>
      <c r="C216" s="1230"/>
      <c r="D216" s="1231" t="s">
        <v>53</v>
      </c>
      <c r="E216" s="1234"/>
      <c r="F216" s="1230"/>
      <c r="G216" s="1230"/>
      <c r="H216" s="1230"/>
      <c r="I216" s="939" t="str">
        <f t="shared" si="18"/>
        <v/>
      </c>
      <c r="J216" s="1634"/>
      <c r="K216" s="1634"/>
      <c r="L216" s="1635" t="str">
        <f>IF(Q216="N/A",IF(D216="split air-conditioner","","Unit type shouldn't be split air-conditioner"),"")</f>
        <v/>
      </c>
      <c r="M216" s="1636"/>
      <c r="N216" s="119"/>
      <c r="O216">
        <f t="shared" si="19"/>
        <v>0</v>
      </c>
      <c r="P216" t="str">
        <f t="shared" ref="P216:P229" si="27">IF(OR(D216="Select",G216=""),"",IF(D216=$P$188,$Q$188,IF(D216=$P$189,IF(G216&lt;4.5,$Q$189,IF(G216&lt;7,$Q$190,IF(G216&lt;14,$Q$191,"N/A"))))))</f>
        <v/>
      </c>
      <c r="Q216" t="str">
        <f t="shared" si="20"/>
        <v/>
      </c>
      <c r="R216" t="str">
        <f t="shared" si="21"/>
        <v/>
      </c>
      <c r="S216" t="str">
        <f t="shared" si="22"/>
        <v/>
      </c>
      <c r="T216">
        <f t="shared" si="23"/>
        <v>0</v>
      </c>
      <c r="U216">
        <f t="shared" si="24"/>
        <v>0</v>
      </c>
      <c r="V216">
        <f t="shared" ref="V216:V229" si="28">IF(OR(S216="chiller",S216=""),0,R216)</f>
        <v>0</v>
      </c>
      <c r="W216">
        <f t="shared" si="25"/>
        <v>0</v>
      </c>
      <c r="X216">
        <f t="shared" si="26"/>
        <v>0</v>
      </c>
      <c r="Y216">
        <f t="shared" ref="Y216:Y229" si="29">IF(S216="chiller",R216,0)</f>
        <v>0</v>
      </c>
    </row>
    <row r="217" spans="1:25" x14ac:dyDescent="0.25">
      <c r="A217" s="119"/>
      <c r="B217" s="1230"/>
      <c r="C217" s="1230"/>
      <c r="D217" s="1231" t="s">
        <v>53</v>
      </c>
      <c r="E217" s="1234"/>
      <c r="F217" s="1230"/>
      <c r="G217" s="1230"/>
      <c r="H217" s="1230"/>
      <c r="I217" s="939" t="str">
        <f t="shared" si="18"/>
        <v/>
      </c>
      <c r="J217" s="1634"/>
      <c r="K217" s="1634"/>
      <c r="L217" s="1635" t="str">
        <f>IF(Q217="N/A",IF(D217="split air-conditioner","","Unit type shouldn't be split air-conditioner"),"")</f>
        <v/>
      </c>
      <c r="M217" s="1636"/>
      <c r="N217" s="119"/>
      <c r="O217">
        <f t="shared" si="19"/>
        <v>0</v>
      </c>
      <c r="P217" t="str">
        <f t="shared" si="27"/>
        <v/>
      </c>
      <c r="Q217" t="str">
        <f t="shared" si="20"/>
        <v/>
      </c>
      <c r="R217" t="str">
        <f t="shared" si="21"/>
        <v/>
      </c>
      <c r="S217" t="str">
        <f t="shared" si="22"/>
        <v/>
      </c>
      <c r="T217">
        <f t="shared" si="23"/>
        <v>0</v>
      </c>
      <c r="U217">
        <f t="shared" si="24"/>
        <v>0</v>
      </c>
      <c r="V217">
        <f t="shared" si="28"/>
        <v>0</v>
      </c>
      <c r="W217">
        <f t="shared" si="25"/>
        <v>0</v>
      </c>
      <c r="X217">
        <f t="shared" si="26"/>
        <v>0</v>
      </c>
      <c r="Y217">
        <f t="shared" si="29"/>
        <v>0</v>
      </c>
    </row>
    <row r="218" spans="1:25" x14ac:dyDescent="0.25">
      <c r="A218" s="119"/>
      <c r="B218" s="1230"/>
      <c r="C218" s="1230"/>
      <c r="D218" s="1231" t="s">
        <v>53</v>
      </c>
      <c r="E218" s="1234"/>
      <c r="F218" s="1230"/>
      <c r="G218" s="1230"/>
      <c r="H218" s="1230"/>
      <c r="I218" s="939" t="str">
        <f t="shared" si="18"/>
        <v/>
      </c>
      <c r="J218" s="1634"/>
      <c r="K218" s="1634"/>
      <c r="L218" s="1635" t="str">
        <f t="shared" ref="L218:L229" si="30">IF(R218="N/A",IF(D218="split air-conditioner","","Unit type shouldn't be split air-conditioner"),"")</f>
        <v/>
      </c>
      <c r="M218" s="1636"/>
      <c r="N218" s="119"/>
      <c r="O218">
        <f t="shared" si="19"/>
        <v>0</v>
      </c>
      <c r="P218" t="str">
        <f t="shared" si="27"/>
        <v/>
      </c>
      <c r="Q218" t="str">
        <f t="shared" si="20"/>
        <v/>
      </c>
      <c r="R218" t="str">
        <f t="shared" si="21"/>
        <v/>
      </c>
      <c r="S218" t="str">
        <f t="shared" si="22"/>
        <v/>
      </c>
      <c r="T218">
        <f t="shared" si="23"/>
        <v>0</v>
      </c>
      <c r="U218">
        <f t="shared" si="24"/>
        <v>0</v>
      </c>
      <c r="V218">
        <f t="shared" si="28"/>
        <v>0</v>
      </c>
      <c r="W218">
        <f t="shared" si="25"/>
        <v>0</v>
      </c>
      <c r="X218">
        <f t="shared" si="26"/>
        <v>0</v>
      </c>
      <c r="Y218">
        <f t="shared" si="29"/>
        <v>0</v>
      </c>
    </row>
    <row r="219" spans="1:25" x14ac:dyDescent="0.25">
      <c r="A219" s="119"/>
      <c r="B219" s="1230"/>
      <c r="C219" s="1230"/>
      <c r="D219" s="1231" t="s">
        <v>53</v>
      </c>
      <c r="E219" s="1234"/>
      <c r="F219" s="1230"/>
      <c r="G219" s="1230"/>
      <c r="H219" s="1230"/>
      <c r="I219" s="939" t="str">
        <f t="shared" si="18"/>
        <v/>
      </c>
      <c r="J219" s="1634"/>
      <c r="K219" s="1634"/>
      <c r="L219" s="1635" t="str">
        <f t="shared" si="30"/>
        <v/>
      </c>
      <c r="M219" s="1636"/>
      <c r="N219" s="119"/>
      <c r="O219">
        <f t="shared" si="19"/>
        <v>0</v>
      </c>
      <c r="P219" t="str">
        <f t="shared" si="27"/>
        <v/>
      </c>
      <c r="Q219" t="str">
        <f t="shared" si="20"/>
        <v/>
      </c>
      <c r="R219" t="str">
        <f t="shared" si="21"/>
        <v/>
      </c>
      <c r="S219" t="str">
        <f t="shared" si="22"/>
        <v/>
      </c>
      <c r="T219">
        <f t="shared" si="23"/>
        <v>0</v>
      </c>
      <c r="U219">
        <f t="shared" si="24"/>
        <v>0</v>
      </c>
      <c r="V219">
        <f t="shared" si="28"/>
        <v>0</v>
      </c>
      <c r="W219">
        <f t="shared" si="25"/>
        <v>0</v>
      </c>
      <c r="X219">
        <f t="shared" si="26"/>
        <v>0</v>
      </c>
      <c r="Y219">
        <f t="shared" si="29"/>
        <v>0</v>
      </c>
    </row>
    <row r="220" spans="1:25" x14ac:dyDescent="0.25">
      <c r="A220" s="119"/>
      <c r="B220" s="1230"/>
      <c r="C220" s="1230"/>
      <c r="D220" s="1231" t="s">
        <v>53</v>
      </c>
      <c r="E220" s="1234"/>
      <c r="F220" s="1230"/>
      <c r="G220" s="1230"/>
      <c r="H220" s="1230"/>
      <c r="I220" s="939" t="str">
        <f t="shared" si="18"/>
        <v/>
      </c>
      <c r="J220" s="1634"/>
      <c r="K220" s="1634"/>
      <c r="L220" s="1635" t="str">
        <f t="shared" si="30"/>
        <v/>
      </c>
      <c r="M220" s="1636"/>
      <c r="N220" s="119"/>
      <c r="O220">
        <f t="shared" si="19"/>
        <v>0</v>
      </c>
      <c r="P220" t="str">
        <f t="shared" si="27"/>
        <v/>
      </c>
      <c r="Q220" t="str">
        <f t="shared" si="20"/>
        <v/>
      </c>
      <c r="R220" t="str">
        <f t="shared" si="21"/>
        <v/>
      </c>
      <c r="S220" t="str">
        <f t="shared" si="22"/>
        <v/>
      </c>
      <c r="T220">
        <f t="shared" si="23"/>
        <v>0</v>
      </c>
      <c r="U220">
        <f t="shared" si="24"/>
        <v>0</v>
      </c>
      <c r="V220">
        <f t="shared" si="28"/>
        <v>0</v>
      </c>
      <c r="W220">
        <f t="shared" si="25"/>
        <v>0</v>
      </c>
      <c r="X220">
        <f t="shared" si="26"/>
        <v>0</v>
      </c>
      <c r="Y220">
        <f t="shared" si="29"/>
        <v>0</v>
      </c>
    </row>
    <row r="221" spans="1:25" x14ac:dyDescent="0.25">
      <c r="A221" s="119"/>
      <c r="B221" s="1230"/>
      <c r="C221" s="1230"/>
      <c r="D221" s="1231" t="s">
        <v>53</v>
      </c>
      <c r="E221" s="1234"/>
      <c r="F221" s="1230"/>
      <c r="G221" s="1230"/>
      <c r="H221" s="1230"/>
      <c r="I221" s="939" t="str">
        <f t="shared" si="18"/>
        <v/>
      </c>
      <c r="J221" s="1634"/>
      <c r="K221" s="1634"/>
      <c r="L221" s="1635" t="str">
        <f t="shared" si="30"/>
        <v/>
      </c>
      <c r="M221" s="1636"/>
      <c r="N221" s="119"/>
      <c r="O221">
        <f t="shared" si="19"/>
        <v>0</v>
      </c>
      <c r="P221" t="str">
        <f t="shared" si="27"/>
        <v/>
      </c>
      <c r="Q221" t="str">
        <f t="shared" si="20"/>
        <v/>
      </c>
      <c r="R221" t="str">
        <f t="shared" si="21"/>
        <v/>
      </c>
      <c r="S221" t="str">
        <f t="shared" si="22"/>
        <v/>
      </c>
      <c r="T221">
        <f t="shared" si="23"/>
        <v>0</v>
      </c>
      <c r="U221">
        <f t="shared" si="24"/>
        <v>0</v>
      </c>
      <c r="V221">
        <f t="shared" si="28"/>
        <v>0</v>
      </c>
      <c r="W221">
        <f t="shared" si="25"/>
        <v>0</v>
      </c>
      <c r="X221">
        <f t="shared" si="26"/>
        <v>0</v>
      </c>
      <c r="Y221">
        <f t="shared" si="29"/>
        <v>0</v>
      </c>
    </row>
    <row r="222" spans="1:25" x14ac:dyDescent="0.25">
      <c r="A222" s="119"/>
      <c r="B222" s="1230"/>
      <c r="C222" s="1230"/>
      <c r="D222" s="1231" t="s">
        <v>53</v>
      </c>
      <c r="E222" s="1234"/>
      <c r="F222" s="1230"/>
      <c r="G222" s="1230"/>
      <c r="H222" s="1230"/>
      <c r="I222" s="939" t="str">
        <f t="shared" si="18"/>
        <v/>
      </c>
      <c r="J222" s="1634"/>
      <c r="K222" s="1634"/>
      <c r="L222" s="1635" t="str">
        <f t="shared" si="30"/>
        <v/>
      </c>
      <c r="M222" s="1636"/>
      <c r="N222" s="119"/>
      <c r="O222">
        <f t="shared" si="19"/>
        <v>0</v>
      </c>
      <c r="P222" t="str">
        <f t="shared" si="27"/>
        <v/>
      </c>
      <c r="Q222" t="str">
        <f t="shared" si="20"/>
        <v/>
      </c>
      <c r="R222" t="str">
        <f t="shared" si="21"/>
        <v/>
      </c>
      <c r="S222" t="str">
        <f t="shared" si="22"/>
        <v/>
      </c>
      <c r="T222">
        <f t="shared" si="23"/>
        <v>0</v>
      </c>
      <c r="U222">
        <f t="shared" si="24"/>
        <v>0</v>
      </c>
      <c r="V222">
        <f t="shared" si="28"/>
        <v>0</v>
      </c>
      <c r="W222">
        <f t="shared" si="25"/>
        <v>0</v>
      </c>
      <c r="X222">
        <f t="shared" si="26"/>
        <v>0</v>
      </c>
      <c r="Y222">
        <f t="shared" si="29"/>
        <v>0</v>
      </c>
    </row>
    <row r="223" spans="1:25" x14ac:dyDescent="0.25">
      <c r="A223" s="119"/>
      <c r="B223" s="1230"/>
      <c r="C223" s="1230"/>
      <c r="D223" s="1231" t="s">
        <v>53</v>
      </c>
      <c r="E223" s="1234"/>
      <c r="F223" s="1230"/>
      <c r="G223" s="1230"/>
      <c r="H223" s="1230"/>
      <c r="I223" s="939" t="str">
        <f t="shared" si="18"/>
        <v/>
      </c>
      <c r="J223" s="1634"/>
      <c r="K223" s="1634"/>
      <c r="L223" s="1635" t="str">
        <f t="shared" si="30"/>
        <v/>
      </c>
      <c r="M223" s="1636"/>
      <c r="N223" s="119"/>
      <c r="O223">
        <f t="shared" si="19"/>
        <v>0</v>
      </c>
      <c r="P223" t="str">
        <f t="shared" si="27"/>
        <v/>
      </c>
      <c r="Q223" t="str">
        <f t="shared" si="20"/>
        <v/>
      </c>
      <c r="R223" t="str">
        <f t="shared" si="21"/>
        <v/>
      </c>
      <c r="S223" t="str">
        <f t="shared" si="22"/>
        <v/>
      </c>
      <c r="T223">
        <f t="shared" si="23"/>
        <v>0</v>
      </c>
      <c r="U223">
        <f t="shared" si="24"/>
        <v>0</v>
      </c>
      <c r="V223">
        <f t="shared" si="28"/>
        <v>0</v>
      </c>
      <c r="W223">
        <f t="shared" si="25"/>
        <v>0</v>
      </c>
      <c r="X223">
        <f t="shared" si="26"/>
        <v>0</v>
      </c>
      <c r="Y223">
        <f t="shared" si="29"/>
        <v>0</v>
      </c>
    </row>
    <row r="224" spans="1:25" x14ac:dyDescent="0.25">
      <c r="A224" s="119"/>
      <c r="B224" s="1230"/>
      <c r="C224" s="1230"/>
      <c r="D224" s="1231" t="s">
        <v>53</v>
      </c>
      <c r="E224" s="1234"/>
      <c r="F224" s="1230"/>
      <c r="G224" s="1230"/>
      <c r="H224" s="1230"/>
      <c r="I224" s="939" t="str">
        <f t="shared" si="18"/>
        <v/>
      </c>
      <c r="J224" s="1634"/>
      <c r="K224" s="1634"/>
      <c r="L224" s="1635" t="str">
        <f t="shared" si="30"/>
        <v/>
      </c>
      <c r="M224" s="1636"/>
      <c r="N224" s="119"/>
      <c r="O224">
        <f t="shared" si="19"/>
        <v>0</v>
      </c>
      <c r="P224" t="str">
        <f t="shared" si="27"/>
        <v/>
      </c>
      <c r="Q224" t="str">
        <f t="shared" si="20"/>
        <v/>
      </c>
      <c r="R224" t="str">
        <f t="shared" si="21"/>
        <v/>
      </c>
      <c r="S224" t="str">
        <f t="shared" si="22"/>
        <v/>
      </c>
      <c r="T224">
        <f t="shared" si="23"/>
        <v>0</v>
      </c>
      <c r="U224">
        <f t="shared" si="24"/>
        <v>0</v>
      </c>
      <c r="V224">
        <f t="shared" si="28"/>
        <v>0</v>
      </c>
      <c r="W224">
        <f t="shared" si="25"/>
        <v>0</v>
      </c>
      <c r="X224">
        <f t="shared" si="26"/>
        <v>0</v>
      </c>
      <c r="Y224">
        <f t="shared" si="29"/>
        <v>0</v>
      </c>
    </row>
    <row r="225" spans="1:28" x14ac:dyDescent="0.25">
      <c r="A225" s="119"/>
      <c r="B225" s="1230"/>
      <c r="C225" s="1230"/>
      <c r="D225" s="1231" t="s">
        <v>53</v>
      </c>
      <c r="E225" s="1234"/>
      <c r="F225" s="1230"/>
      <c r="G225" s="1230"/>
      <c r="H225" s="1230"/>
      <c r="I225" s="939" t="str">
        <f t="shared" si="18"/>
        <v/>
      </c>
      <c r="J225" s="1634"/>
      <c r="K225" s="1634"/>
      <c r="L225" s="1635" t="str">
        <f t="shared" si="30"/>
        <v/>
      </c>
      <c r="M225" s="1636"/>
      <c r="N225" s="119"/>
      <c r="O225">
        <f t="shared" si="19"/>
        <v>0</v>
      </c>
      <c r="P225" t="str">
        <f t="shared" si="27"/>
        <v/>
      </c>
      <c r="Q225" t="str">
        <f t="shared" si="20"/>
        <v/>
      </c>
      <c r="R225" t="str">
        <f t="shared" si="21"/>
        <v/>
      </c>
      <c r="S225" t="str">
        <f t="shared" si="22"/>
        <v/>
      </c>
      <c r="T225">
        <f t="shared" si="23"/>
        <v>0</v>
      </c>
      <c r="U225">
        <f t="shared" si="24"/>
        <v>0</v>
      </c>
      <c r="V225">
        <f t="shared" si="28"/>
        <v>0</v>
      </c>
      <c r="W225">
        <f t="shared" si="25"/>
        <v>0</v>
      </c>
      <c r="X225">
        <f t="shared" si="26"/>
        <v>0</v>
      </c>
      <c r="Y225">
        <f t="shared" si="29"/>
        <v>0</v>
      </c>
    </row>
    <row r="226" spans="1:28" x14ac:dyDescent="0.25">
      <c r="A226" s="119"/>
      <c r="B226" s="1230"/>
      <c r="C226" s="1230"/>
      <c r="D226" s="1231" t="s">
        <v>53</v>
      </c>
      <c r="E226" s="1234"/>
      <c r="F226" s="1230"/>
      <c r="G226" s="1230"/>
      <c r="H226" s="1230"/>
      <c r="I226" s="939" t="str">
        <f t="shared" si="18"/>
        <v/>
      </c>
      <c r="J226" s="1634"/>
      <c r="K226" s="1634"/>
      <c r="L226" s="1635" t="str">
        <f t="shared" si="30"/>
        <v/>
      </c>
      <c r="M226" s="1636"/>
      <c r="N226" s="119"/>
      <c r="O226">
        <f t="shared" si="19"/>
        <v>0</v>
      </c>
      <c r="P226" t="str">
        <f t="shared" si="27"/>
        <v/>
      </c>
      <c r="Q226" t="str">
        <f t="shared" si="20"/>
        <v/>
      </c>
      <c r="R226" t="str">
        <f t="shared" si="21"/>
        <v/>
      </c>
      <c r="S226" t="str">
        <f t="shared" si="22"/>
        <v/>
      </c>
      <c r="T226">
        <f t="shared" si="23"/>
        <v>0</v>
      </c>
      <c r="U226">
        <f t="shared" si="24"/>
        <v>0</v>
      </c>
      <c r="V226">
        <f t="shared" si="28"/>
        <v>0</v>
      </c>
      <c r="W226">
        <f t="shared" si="25"/>
        <v>0</v>
      </c>
      <c r="X226">
        <f t="shared" si="26"/>
        <v>0</v>
      </c>
      <c r="Y226">
        <f t="shared" si="29"/>
        <v>0</v>
      </c>
    </row>
    <row r="227" spans="1:28" x14ac:dyDescent="0.25">
      <c r="A227" s="119"/>
      <c r="B227" s="1230"/>
      <c r="C227" s="1230"/>
      <c r="D227" s="1231" t="s">
        <v>53</v>
      </c>
      <c r="E227" s="1234"/>
      <c r="F227" s="1230"/>
      <c r="G227" s="1230"/>
      <c r="H227" s="1230"/>
      <c r="I227" s="939" t="str">
        <f t="shared" si="18"/>
        <v/>
      </c>
      <c r="J227" s="1634"/>
      <c r="K227" s="1634"/>
      <c r="L227" s="1635" t="str">
        <f t="shared" si="30"/>
        <v/>
      </c>
      <c r="M227" s="1636"/>
      <c r="N227" s="119"/>
      <c r="O227">
        <f t="shared" si="19"/>
        <v>0</v>
      </c>
      <c r="P227" t="str">
        <f t="shared" si="27"/>
        <v/>
      </c>
      <c r="Q227" t="str">
        <f t="shared" si="20"/>
        <v/>
      </c>
      <c r="R227" t="str">
        <f t="shared" si="21"/>
        <v/>
      </c>
      <c r="S227" t="str">
        <f t="shared" si="22"/>
        <v/>
      </c>
      <c r="T227">
        <f t="shared" si="23"/>
        <v>0</v>
      </c>
      <c r="U227">
        <f t="shared" si="24"/>
        <v>0</v>
      </c>
      <c r="V227">
        <f t="shared" si="28"/>
        <v>0</v>
      </c>
      <c r="W227">
        <f t="shared" si="25"/>
        <v>0</v>
      </c>
      <c r="X227">
        <f t="shared" si="26"/>
        <v>0</v>
      </c>
      <c r="Y227">
        <f t="shared" si="29"/>
        <v>0</v>
      </c>
    </row>
    <row r="228" spans="1:28" x14ac:dyDescent="0.25">
      <c r="A228" s="119"/>
      <c r="B228" s="1230"/>
      <c r="C228" s="1230"/>
      <c r="D228" s="1231" t="s">
        <v>53</v>
      </c>
      <c r="E228" s="1234"/>
      <c r="F228" s="1230"/>
      <c r="G228" s="1230"/>
      <c r="H228" s="1230"/>
      <c r="I228" s="939" t="str">
        <f t="shared" si="18"/>
        <v/>
      </c>
      <c r="J228" s="1634"/>
      <c r="K228" s="1634"/>
      <c r="L228" s="1635" t="str">
        <f t="shared" si="30"/>
        <v/>
      </c>
      <c r="M228" s="1636"/>
      <c r="N228" s="119"/>
      <c r="O228">
        <f t="shared" si="19"/>
        <v>0</v>
      </c>
      <c r="P228" t="str">
        <f t="shared" si="27"/>
        <v/>
      </c>
      <c r="Q228" t="str">
        <f t="shared" si="20"/>
        <v/>
      </c>
      <c r="R228" t="str">
        <f t="shared" si="21"/>
        <v/>
      </c>
      <c r="S228" t="str">
        <f t="shared" si="22"/>
        <v/>
      </c>
      <c r="T228">
        <f t="shared" si="23"/>
        <v>0</v>
      </c>
      <c r="U228">
        <f t="shared" si="24"/>
        <v>0</v>
      </c>
      <c r="V228">
        <f t="shared" si="28"/>
        <v>0</v>
      </c>
      <c r="W228">
        <f t="shared" si="25"/>
        <v>0</v>
      </c>
      <c r="X228">
        <f t="shared" si="26"/>
        <v>0</v>
      </c>
      <c r="Y228">
        <f t="shared" si="29"/>
        <v>0</v>
      </c>
    </row>
    <row r="229" spans="1:28" x14ac:dyDescent="0.25">
      <c r="A229" s="119"/>
      <c r="B229" s="1230"/>
      <c r="C229" s="1230"/>
      <c r="D229" s="1231" t="s">
        <v>53</v>
      </c>
      <c r="E229" s="1234"/>
      <c r="F229" s="1230"/>
      <c r="G229" s="1230"/>
      <c r="H229" s="1230"/>
      <c r="I229" s="939" t="str">
        <f t="shared" si="18"/>
        <v/>
      </c>
      <c r="J229" s="1634"/>
      <c r="K229" s="1634"/>
      <c r="L229" s="1635" t="str">
        <f t="shared" si="30"/>
        <v/>
      </c>
      <c r="M229" s="1636"/>
      <c r="N229" s="119"/>
      <c r="O229">
        <f t="shared" si="19"/>
        <v>0</v>
      </c>
      <c r="P229" t="str">
        <f t="shared" si="27"/>
        <v/>
      </c>
      <c r="Q229" t="str">
        <f t="shared" si="20"/>
        <v/>
      </c>
      <c r="R229" t="str">
        <f t="shared" si="21"/>
        <v/>
      </c>
      <c r="S229" t="str">
        <f t="shared" si="22"/>
        <v/>
      </c>
      <c r="T229">
        <f t="shared" si="23"/>
        <v>0</v>
      </c>
      <c r="U229">
        <f t="shared" si="24"/>
        <v>0</v>
      </c>
      <c r="V229">
        <f t="shared" si="28"/>
        <v>0</v>
      </c>
      <c r="W229">
        <f t="shared" si="25"/>
        <v>0</v>
      </c>
      <c r="X229">
        <f t="shared" si="26"/>
        <v>0</v>
      </c>
      <c r="Y229">
        <f t="shared" si="29"/>
        <v>0</v>
      </c>
    </row>
    <row r="230" spans="1:28" ht="18" customHeight="1" x14ac:dyDescent="0.25">
      <c r="A230" s="119"/>
      <c r="B230" s="119"/>
      <c r="C230" s="119"/>
      <c r="D230" s="119"/>
      <c r="E230" s="119"/>
      <c r="F230" s="119"/>
      <c r="G230" s="938" t="s">
        <v>2423</v>
      </c>
      <c r="H230" s="941" t="str">
        <f>IFERROR(SUMPRODUCT(E215:E229,G215:G229,H215:H229)/SUMPRODUCT(E215:E229,G215:G229),"")</f>
        <v/>
      </c>
      <c r="I230" s="941" t="str">
        <f>IFERROR(SUMPRODUCT(E215:E229,G215:G229,I215:I229)/SUMPRODUCT(E215:E229,G215:G229),"")</f>
        <v/>
      </c>
      <c r="J230" s="119"/>
      <c r="K230" s="119"/>
      <c r="L230" s="119"/>
      <c r="M230" s="119"/>
      <c r="N230" s="119"/>
      <c r="S230" t="str">
        <f>IFERROR(VLOOKUP(R230,$Q$83:$R$96,2,FALSE),"")</f>
        <v/>
      </c>
      <c r="T230" s="35" t="str">
        <f>IFERROR(SUMPRODUCT(T215:T229,U215:U229)/SUM(U215:U229),"")</f>
        <v/>
      </c>
      <c r="V230" t="str">
        <f>IFERROR(SUMPRODUCT(V215:V229,U215:U229)/SUM(U215:U229),"")</f>
        <v/>
      </c>
      <c r="W230" s="35" t="str">
        <f>IFERROR(SUMPRODUCT(W215:W229,X215:X229)/SUM(X215:X229),"")</f>
        <v/>
      </c>
      <c r="Y230" t="str">
        <f>IFERROR(SUMPRODUCT(Y215:Y229,X215:X229)/SUM(X215:X229),"")</f>
        <v/>
      </c>
    </row>
    <row r="231" spans="1:28" x14ac:dyDescent="0.25">
      <c r="A231" s="119"/>
      <c r="B231" s="943" t="s">
        <v>2429</v>
      </c>
      <c r="C231" s="119"/>
      <c r="D231" s="119"/>
      <c r="E231" s="119"/>
      <c r="F231" s="119"/>
      <c r="G231" s="119"/>
      <c r="H231" s="119"/>
      <c r="I231" s="119"/>
      <c r="J231" s="119"/>
      <c r="K231" s="119"/>
      <c r="L231" s="119"/>
      <c r="M231" s="119"/>
      <c r="N231" s="119"/>
      <c r="T231" s="35"/>
    </row>
    <row r="232" spans="1:28" ht="18" customHeight="1" x14ac:dyDescent="0.25">
      <c r="A232" s="119"/>
      <c r="B232" s="1631" t="s">
        <v>2426</v>
      </c>
      <c r="C232" s="1632"/>
      <c r="D232" s="1633"/>
      <c r="E232" s="942" t="str">
        <f>T230</f>
        <v/>
      </c>
      <c r="F232" s="119"/>
      <c r="G232" s="119"/>
      <c r="H232" s="119"/>
      <c r="I232" s="119"/>
      <c r="J232" s="119"/>
      <c r="K232" s="119"/>
      <c r="L232" s="119"/>
      <c r="M232" s="119"/>
      <c r="N232" s="119"/>
      <c r="T232" s="35"/>
    </row>
    <row r="233" spans="1:28" ht="18" customHeight="1" x14ac:dyDescent="0.25">
      <c r="A233" s="119"/>
      <c r="B233" s="1631" t="s">
        <v>2427</v>
      </c>
      <c r="C233" s="1632"/>
      <c r="D233" s="1633"/>
      <c r="E233" s="942" t="str">
        <f>V230</f>
        <v/>
      </c>
      <c r="F233" s="119"/>
      <c r="G233" s="119"/>
      <c r="H233" s="119"/>
      <c r="I233" s="119"/>
      <c r="J233" s="119"/>
      <c r="K233" s="119"/>
      <c r="L233" s="119"/>
      <c r="M233" s="119"/>
      <c r="N233" s="119"/>
      <c r="T233" s="35"/>
    </row>
    <row r="234" spans="1:28" ht="18" customHeight="1" x14ac:dyDescent="0.25">
      <c r="A234" s="119"/>
      <c r="B234" s="1631" t="s">
        <v>2428</v>
      </c>
      <c r="C234" s="1632"/>
      <c r="D234" s="1633"/>
      <c r="E234" s="127" t="str">
        <f>IFERROR(E232/E233-1,"")</f>
        <v/>
      </c>
      <c r="F234" s="119"/>
      <c r="G234" s="119"/>
      <c r="H234" s="119"/>
      <c r="I234" s="119"/>
      <c r="J234" s="119"/>
      <c r="K234" s="119"/>
      <c r="L234" s="119"/>
      <c r="M234" s="119"/>
      <c r="N234" s="119"/>
      <c r="T234" s="35"/>
    </row>
    <row r="235" spans="1:28" ht="18" customHeight="1" x14ac:dyDescent="0.25">
      <c r="A235" s="119"/>
      <c r="B235" s="119"/>
      <c r="C235" s="119"/>
      <c r="D235" s="119"/>
      <c r="E235" s="119"/>
      <c r="F235" s="119"/>
      <c r="G235" s="119"/>
      <c r="H235" s="119"/>
      <c r="I235" s="119"/>
      <c r="J235" s="119"/>
      <c r="K235" s="119"/>
      <c r="L235" s="119"/>
      <c r="M235" s="119"/>
      <c r="N235" s="119"/>
      <c r="T235" s="35"/>
    </row>
    <row r="236" spans="1:28" ht="15" customHeight="1" x14ac:dyDescent="0.25">
      <c r="A236" s="119"/>
      <c r="B236" s="937" t="s">
        <v>2474</v>
      </c>
      <c r="C236" s="119"/>
      <c r="D236" s="119"/>
      <c r="E236" s="119"/>
      <c r="F236" s="119"/>
      <c r="G236" s="119"/>
      <c r="H236" s="119"/>
      <c r="I236" s="119"/>
      <c r="J236" s="119"/>
      <c r="K236" s="119"/>
      <c r="L236" s="119"/>
      <c r="M236" s="119"/>
      <c r="N236" s="119"/>
    </row>
    <row r="237" spans="1:28" ht="13.5" customHeight="1" x14ac:dyDescent="0.25">
      <c r="A237" s="119"/>
      <c r="B237" s="119"/>
      <c r="C237" s="119"/>
      <c r="D237" s="119"/>
      <c r="E237" s="119"/>
      <c r="F237" s="119"/>
      <c r="G237" s="119"/>
      <c r="H237" s="119"/>
      <c r="I237" s="119"/>
      <c r="J237" s="119"/>
      <c r="K237" s="119"/>
      <c r="L237" s="119"/>
      <c r="M237" s="119"/>
      <c r="N237" s="119"/>
    </row>
    <row r="238" spans="1:28" ht="18.75" customHeight="1" x14ac:dyDescent="0.25">
      <c r="A238" s="119"/>
      <c r="B238" s="1637" t="s">
        <v>2420</v>
      </c>
      <c r="C238" s="1637"/>
      <c r="D238" s="1637"/>
      <c r="E238" s="1637"/>
      <c r="F238" s="1637"/>
      <c r="G238" s="1637"/>
      <c r="H238" s="1637"/>
      <c r="I238" s="1637"/>
      <c r="J238" s="1637"/>
      <c r="K238" s="1637"/>
      <c r="L238" s="119"/>
      <c r="M238" s="119"/>
      <c r="N238" s="119"/>
      <c r="S238" s="35"/>
    </row>
    <row r="239" spans="1:28" ht="9.75" customHeight="1" x14ac:dyDescent="0.25">
      <c r="A239" s="119"/>
      <c r="B239" s="119"/>
      <c r="C239" s="119"/>
      <c r="D239" s="119"/>
      <c r="E239" s="119"/>
      <c r="F239" s="119"/>
      <c r="G239" s="119"/>
      <c r="H239" s="119"/>
      <c r="I239" s="119"/>
      <c r="J239" s="119"/>
      <c r="K239" s="119"/>
      <c r="L239" s="119"/>
      <c r="M239" s="119"/>
      <c r="N239" s="119"/>
    </row>
    <row r="240" spans="1:28" ht="30" x14ac:dyDescent="0.25">
      <c r="A240" s="119"/>
      <c r="B240" s="887" t="s">
        <v>47</v>
      </c>
      <c r="C240" s="886" t="s">
        <v>46</v>
      </c>
      <c r="D240" s="885" t="s">
        <v>42</v>
      </c>
      <c r="E240" s="885" t="s">
        <v>8</v>
      </c>
      <c r="F240" s="886" t="s">
        <v>1573</v>
      </c>
      <c r="G240" s="886" t="s">
        <v>1574</v>
      </c>
      <c r="H240" s="885" t="s">
        <v>1575</v>
      </c>
      <c r="I240" s="886" t="s">
        <v>2431</v>
      </c>
      <c r="J240" s="1638" t="s">
        <v>12</v>
      </c>
      <c r="K240" s="1639"/>
      <c r="L240" s="119"/>
      <c r="M240" s="119"/>
      <c r="N240" s="119"/>
      <c r="P240" t="s">
        <v>2459</v>
      </c>
      <c r="Q240" t="s">
        <v>2458</v>
      </c>
      <c r="R240" s="6" t="s">
        <v>40</v>
      </c>
      <c r="S240" s="1211" t="s">
        <v>2460</v>
      </c>
      <c r="T240" t="s">
        <v>2464</v>
      </c>
      <c r="U240" t="s">
        <v>2465</v>
      </c>
      <c r="V240" t="s">
        <v>2466</v>
      </c>
      <c r="W240" t="s">
        <v>2461</v>
      </c>
      <c r="X240" t="s">
        <v>2462</v>
      </c>
      <c r="Y240" t="s">
        <v>2463</v>
      </c>
      <c r="Z240" t="s">
        <v>2467</v>
      </c>
      <c r="AA240" t="s">
        <v>2468</v>
      </c>
      <c r="AB240" t="s">
        <v>2469</v>
      </c>
    </row>
    <row r="241" spans="1:28" x14ac:dyDescent="0.25">
      <c r="A241" s="119"/>
      <c r="B241" s="890"/>
      <c r="C241" s="890"/>
      <c r="D241" s="890" t="s">
        <v>53</v>
      </c>
      <c r="E241" s="888"/>
      <c r="F241" s="890"/>
      <c r="G241" s="890"/>
      <c r="H241" s="939" t="str">
        <f>IF(OR(D241="Select",D241="",L241&lt;&gt;""),"",IFERROR(IF(AND(B241&lt;&gt;"",F241&lt;&gt;"",G241&lt;&gt;""),G241/F241,""),""))</f>
        <v/>
      </c>
      <c r="I241" s="940" t="str">
        <f t="shared" ref="I241:I255" si="31">R241</f>
        <v/>
      </c>
      <c r="J241" s="1640"/>
      <c r="K241" s="1640"/>
      <c r="L241" s="1635"/>
      <c r="M241" s="1636"/>
      <c r="N241" s="119"/>
      <c r="O241">
        <f t="shared" ref="O241:O255" si="32">IF(OR(D241="Select",D241="",L241&lt;&gt;""),0,E241*G241)</f>
        <v>0</v>
      </c>
      <c r="P241" t="str">
        <f>IF(OR(D241="Select",G241=""),"",IF(D241=$P$192,IF(G241&lt;19,"N/A",IF(G241&lt;19,$Q$192,IF(G241&lt;40,$Q$193,IF(G241&lt;70,$Q$194,IF(G241&lt;223,$Q$195,$Q$196))))),IF(D241=$P$197,IF(G241&lt;40,$Q$197,IF(G241&lt;70,$Q$198,IF(G241&lt;223,$Q$199,$Q$200))))))</f>
        <v/>
      </c>
      <c r="Q241" t="str">
        <f t="shared" ref="Q241:Q255" si="33">IF(OR(D241="Select",G241=""),"",IF(D241=$P$201,$Q$201,IF(D241=$P$202,IF(G241&lt;264,Q202,IF(G241&lt;528,$Q$203,IF(G241&lt;1055,$Q$204,$Q$205))),IF(D241=$P$206,IF(G241&lt;1055,$Q$206,IF(G241&lt;2110,$Q$207,$Q$208))))))</f>
        <v/>
      </c>
      <c r="R241" t="str">
        <f t="shared" ref="R241:R255" si="34">IFERROR(IF(Q241=FALSE,VLOOKUP(P241,$Q$186:$R$208,2,FALSE),IF(P241=FALSE,VLOOKUP(Q241,$Q$186:$R$208,2,FALSE),"")),"")</f>
        <v/>
      </c>
      <c r="S241" t="str">
        <f>IF(OR(D241="Select",D241=""),"",IF(COUNTIF($O$182:$O$186,D241)=0,IF(G241&lt;1005,"chiller &lt; 1055","chiller &gt; 1055"),"DX AC"))</f>
        <v/>
      </c>
      <c r="T241" t="str">
        <f>IF(OR(S241="DX AC",S241=""),H241,0)</f>
        <v/>
      </c>
      <c r="U241">
        <f>IF(OR(S241="DX AC",S241=""),O241,0)</f>
        <v>0</v>
      </c>
      <c r="V241" t="str">
        <f>IF(OR(S241="DX AC",S241=""),R241,0)</f>
        <v/>
      </c>
      <c r="W241">
        <f>IF(S241="chiller &lt; 1055",H241,0)</f>
        <v>0</v>
      </c>
      <c r="X241">
        <f>IF(S241="chiller &lt; 1055",O241,0)</f>
        <v>0</v>
      </c>
      <c r="Y241">
        <f>IF(S241="chiller &lt; 1055",R241,0)</f>
        <v>0</v>
      </c>
      <c r="Z241">
        <f>IF(S241="chiller &gt; 1055",H241,0)</f>
        <v>0</v>
      </c>
      <c r="AA241">
        <f>IF(S241="chiller &gt; 1055",O241,0)</f>
        <v>0</v>
      </c>
      <c r="AB241">
        <f>IF(S241="chiller &gt; 1055",R241,0)</f>
        <v>0</v>
      </c>
    </row>
    <row r="242" spans="1:28" x14ac:dyDescent="0.25">
      <c r="A242" s="119"/>
      <c r="B242" s="889"/>
      <c r="C242" s="889"/>
      <c r="D242" s="890" t="s">
        <v>53</v>
      </c>
      <c r="E242" s="884"/>
      <c r="F242" s="889"/>
      <c r="G242" s="889"/>
      <c r="H242" s="939" t="str">
        <f>IF(OR(D242="Select",D242="",L242&lt;&gt;""),"",IFERROR(IF(AND(B242&lt;&gt;"",F242&lt;&gt;"",G242&lt;&gt;""),G242/F242,""),""))</f>
        <v/>
      </c>
      <c r="I242" s="939" t="str">
        <f t="shared" si="31"/>
        <v/>
      </c>
      <c r="J242" s="1634"/>
      <c r="K242" s="1634"/>
      <c r="L242" s="1635"/>
      <c r="M242" s="1636"/>
      <c r="N242" s="119"/>
      <c r="O242">
        <f t="shared" si="32"/>
        <v>0</v>
      </c>
      <c r="P242" t="str">
        <f t="shared" ref="P242:P255" si="35">IF(OR(D242="Select",G242=""),"",IF(D242=$P$192,IF(G242&lt;19,"N/A",IF(G242&lt;19,$Q$192,IF(G242&lt;40,$Q$193,IF(G242&lt;70,$Q$194,IF(G242&lt;223,$Q$195,$Q$196))))),IF(D242=$P$197,IF(G242&lt;40,$Q$197,IF(G242&lt;70,$Q$198,IF(G242&lt;223,$Q$199,$Q$200))))))</f>
        <v/>
      </c>
      <c r="Q242" t="str">
        <f t="shared" si="33"/>
        <v/>
      </c>
      <c r="R242" t="str">
        <f t="shared" si="34"/>
        <v/>
      </c>
      <c r="S242" t="str">
        <f t="shared" ref="S242:S255" si="36">IF(OR(D242="Select",D242=""),"",IF(COUNTIF($O$182:$O$186,D242)=0,IF(G242&lt;1005,"chiller &lt; 1055","chiller &gt; 1055"),"DX AC"))</f>
        <v/>
      </c>
      <c r="T242" t="str">
        <f t="shared" ref="T242:T255" si="37">IF(OR(S242="DX AC",S242=""),H242,0)</f>
        <v/>
      </c>
      <c r="U242">
        <f t="shared" ref="U242:U255" si="38">IF(OR(S242="DX AC",S242=""),O242,0)</f>
        <v>0</v>
      </c>
      <c r="V242" t="str">
        <f t="shared" ref="V242:V255" si="39">IF(OR(S242="DX AC",S242=""),R242,0)</f>
        <v/>
      </c>
      <c r="W242">
        <f t="shared" ref="W242:W255" si="40">IF(S242="chiller &lt; 1055",H242,0)</f>
        <v>0</v>
      </c>
      <c r="X242">
        <f t="shared" ref="X242:X255" si="41">IF(S242="chiller &lt; 1055",O242,0)</f>
        <v>0</v>
      </c>
      <c r="Y242">
        <f t="shared" ref="Y242:Y255" si="42">IF(S242="chiller &lt; 1055",R242,0)</f>
        <v>0</v>
      </c>
      <c r="Z242">
        <f t="shared" ref="Z242:Z255" si="43">IF(S242="chiller &gt; 1055",H242,0)</f>
        <v>0</v>
      </c>
      <c r="AA242">
        <f t="shared" ref="AA242:AA255" si="44">IF(S242="chiller &gt; 1055",O242,0)</f>
        <v>0</v>
      </c>
      <c r="AB242">
        <f t="shared" ref="AB242:AB255" si="45">IF(S242="chiller &gt; 1055",R242,0)</f>
        <v>0</v>
      </c>
    </row>
    <row r="243" spans="1:28" x14ac:dyDescent="0.25">
      <c r="A243" s="119"/>
      <c r="B243" s="889"/>
      <c r="C243" s="889"/>
      <c r="D243" s="1272" t="s">
        <v>53</v>
      </c>
      <c r="E243" s="884"/>
      <c r="F243" s="889"/>
      <c r="G243" s="889"/>
      <c r="H243" s="939" t="str">
        <f>IF(OR(D243="Select",D243="",L243&lt;&gt;""),"",IFERROR(IF(AND(B243&lt;&gt;"",F243&lt;&gt;"",G243&lt;&gt;""),G243/F243,""),""))</f>
        <v/>
      </c>
      <c r="I243" s="939" t="str">
        <f t="shared" si="31"/>
        <v/>
      </c>
      <c r="J243" s="1634"/>
      <c r="K243" s="1634"/>
      <c r="L243" s="1635"/>
      <c r="M243" s="1636"/>
      <c r="N243" s="119"/>
      <c r="O243">
        <f t="shared" si="32"/>
        <v>0</v>
      </c>
      <c r="P243" t="str">
        <f t="shared" si="35"/>
        <v/>
      </c>
      <c r="Q243" t="str">
        <f t="shared" si="33"/>
        <v/>
      </c>
      <c r="R243" t="str">
        <f t="shared" si="34"/>
        <v/>
      </c>
      <c r="S243" t="str">
        <f t="shared" si="36"/>
        <v/>
      </c>
      <c r="T243" t="str">
        <f t="shared" si="37"/>
        <v/>
      </c>
      <c r="U243">
        <f t="shared" si="38"/>
        <v>0</v>
      </c>
      <c r="V243" t="str">
        <f t="shared" si="39"/>
        <v/>
      </c>
      <c r="W243">
        <f t="shared" si="40"/>
        <v>0</v>
      </c>
      <c r="X243">
        <f t="shared" si="41"/>
        <v>0</v>
      </c>
      <c r="Y243">
        <f t="shared" si="42"/>
        <v>0</v>
      </c>
      <c r="Z243">
        <f t="shared" si="43"/>
        <v>0</v>
      </c>
      <c r="AA243">
        <f t="shared" si="44"/>
        <v>0</v>
      </c>
      <c r="AB243">
        <f t="shared" si="45"/>
        <v>0</v>
      </c>
    </row>
    <row r="244" spans="1:28" x14ac:dyDescent="0.25">
      <c r="A244" s="119"/>
      <c r="B244" s="889"/>
      <c r="C244" s="889"/>
      <c r="D244" s="1272" t="s">
        <v>53</v>
      </c>
      <c r="E244" s="884"/>
      <c r="F244" s="889"/>
      <c r="G244" s="889"/>
      <c r="H244" s="939" t="str">
        <f t="shared" ref="H244:H255" si="46">IF(OR(D244="Select",D244="",L244&lt;&gt;""),"",IFERROR(IF(AND(B244&lt;&gt;"",F244&lt;&gt;"",G244&lt;&gt;""),G244/F244,""),""))</f>
        <v/>
      </c>
      <c r="I244" s="939" t="str">
        <f t="shared" si="31"/>
        <v/>
      </c>
      <c r="J244" s="1634"/>
      <c r="K244" s="1634"/>
      <c r="L244" s="1635"/>
      <c r="M244" s="1636"/>
      <c r="N244" s="119"/>
      <c r="O244">
        <f t="shared" si="32"/>
        <v>0</v>
      </c>
      <c r="P244" t="str">
        <f t="shared" si="35"/>
        <v/>
      </c>
      <c r="Q244" t="str">
        <f t="shared" si="33"/>
        <v/>
      </c>
      <c r="R244" t="str">
        <f t="shared" si="34"/>
        <v/>
      </c>
      <c r="S244" t="str">
        <f t="shared" si="36"/>
        <v/>
      </c>
      <c r="T244" t="str">
        <f t="shared" si="37"/>
        <v/>
      </c>
      <c r="U244">
        <f t="shared" si="38"/>
        <v>0</v>
      </c>
      <c r="V244" t="str">
        <f t="shared" si="39"/>
        <v/>
      </c>
      <c r="W244">
        <f t="shared" si="40"/>
        <v>0</v>
      </c>
      <c r="X244">
        <f t="shared" si="41"/>
        <v>0</v>
      </c>
      <c r="Y244">
        <f t="shared" si="42"/>
        <v>0</v>
      </c>
      <c r="Z244">
        <f t="shared" si="43"/>
        <v>0</v>
      </c>
      <c r="AA244">
        <f t="shared" si="44"/>
        <v>0</v>
      </c>
      <c r="AB244">
        <f t="shared" si="45"/>
        <v>0</v>
      </c>
    </row>
    <row r="245" spans="1:28" x14ac:dyDescent="0.25">
      <c r="A245" s="119"/>
      <c r="B245" s="889"/>
      <c r="C245" s="889"/>
      <c r="D245" s="1272" t="s">
        <v>53</v>
      </c>
      <c r="E245" s="884"/>
      <c r="F245" s="889"/>
      <c r="G245" s="889"/>
      <c r="H245" s="939" t="str">
        <f t="shared" si="46"/>
        <v/>
      </c>
      <c r="I245" s="939" t="str">
        <f t="shared" si="31"/>
        <v/>
      </c>
      <c r="J245" s="1634"/>
      <c r="K245" s="1634"/>
      <c r="L245" s="1635"/>
      <c r="M245" s="1636"/>
      <c r="N245" s="119"/>
      <c r="O245">
        <f t="shared" si="32"/>
        <v>0</v>
      </c>
      <c r="P245" t="str">
        <f t="shared" si="35"/>
        <v/>
      </c>
      <c r="Q245" t="str">
        <f t="shared" si="33"/>
        <v/>
      </c>
      <c r="R245" t="str">
        <f t="shared" si="34"/>
        <v/>
      </c>
      <c r="S245" t="str">
        <f t="shared" si="36"/>
        <v/>
      </c>
      <c r="T245" t="str">
        <f t="shared" si="37"/>
        <v/>
      </c>
      <c r="U245">
        <f t="shared" si="38"/>
        <v>0</v>
      </c>
      <c r="V245" t="str">
        <f t="shared" si="39"/>
        <v/>
      </c>
      <c r="W245">
        <f t="shared" si="40"/>
        <v>0</v>
      </c>
      <c r="X245">
        <f t="shared" si="41"/>
        <v>0</v>
      </c>
      <c r="Y245">
        <f t="shared" si="42"/>
        <v>0</v>
      </c>
      <c r="Z245">
        <f t="shared" si="43"/>
        <v>0</v>
      </c>
      <c r="AA245">
        <f t="shared" si="44"/>
        <v>0</v>
      </c>
      <c r="AB245">
        <f t="shared" si="45"/>
        <v>0</v>
      </c>
    </row>
    <row r="246" spans="1:28" x14ac:dyDescent="0.25">
      <c r="A246" s="119"/>
      <c r="B246" s="1200"/>
      <c r="C246" s="1200"/>
      <c r="D246" s="1272" t="s">
        <v>53</v>
      </c>
      <c r="E246" s="1199"/>
      <c r="F246" s="1200"/>
      <c r="G246" s="1200"/>
      <c r="H246" s="939" t="str">
        <f t="shared" ref="H246:H250" si="47">IF(OR(D246="Select",D246="",L246&lt;&gt;""),"",IFERROR(IF(AND(B246&lt;&gt;"",F246&lt;&gt;"",G246&lt;&gt;""),G246/F246,""),""))</f>
        <v/>
      </c>
      <c r="I246" s="939" t="str">
        <f t="shared" ref="I246:I250" si="48">R246</f>
        <v/>
      </c>
      <c r="J246" s="1634"/>
      <c r="K246" s="1634"/>
      <c r="L246" s="1635"/>
      <c r="M246" s="1636"/>
      <c r="N246" s="119"/>
      <c r="O246">
        <f t="shared" ref="O246:O250" si="49">IF(OR(D246="Select",D246="",L246&lt;&gt;""),0,E246*G246)</f>
        <v>0</v>
      </c>
      <c r="P246" t="str">
        <f t="shared" si="35"/>
        <v/>
      </c>
      <c r="Q246" t="str">
        <f t="shared" si="33"/>
        <v/>
      </c>
      <c r="R246" t="str">
        <f t="shared" si="34"/>
        <v/>
      </c>
      <c r="S246" t="str">
        <f t="shared" si="36"/>
        <v/>
      </c>
      <c r="T246" t="str">
        <f t="shared" si="37"/>
        <v/>
      </c>
      <c r="U246">
        <f t="shared" si="38"/>
        <v>0</v>
      </c>
      <c r="V246" t="str">
        <f t="shared" si="39"/>
        <v/>
      </c>
      <c r="W246">
        <f t="shared" si="40"/>
        <v>0</v>
      </c>
      <c r="X246">
        <f t="shared" si="41"/>
        <v>0</v>
      </c>
      <c r="Y246">
        <f t="shared" si="42"/>
        <v>0</v>
      </c>
      <c r="Z246">
        <f t="shared" si="43"/>
        <v>0</v>
      </c>
      <c r="AA246">
        <f t="shared" si="44"/>
        <v>0</v>
      </c>
      <c r="AB246">
        <f t="shared" si="45"/>
        <v>0</v>
      </c>
    </row>
    <row r="247" spans="1:28" x14ac:dyDescent="0.25">
      <c r="A247" s="119"/>
      <c r="B247" s="1200"/>
      <c r="C247" s="1200"/>
      <c r="D247" s="1272" t="s">
        <v>53</v>
      </c>
      <c r="E247" s="1199"/>
      <c r="F247" s="1200"/>
      <c r="G247" s="1200"/>
      <c r="H247" s="939" t="str">
        <f t="shared" si="47"/>
        <v/>
      </c>
      <c r="I247" s="939" t="str">
        <f t="shared" si="48"/>
        <v/>
      </c>
      <c r="J247" s="1634"/>
      <c r="K247" s="1634"/>
      <c r="L247" s="1635"/>
      <c r="M247" s="1636"/>
      <c r="N247" s="119"/>
      <c r="O247">
        <f t="shared" si="49"/>
        <v>0</v>
      </c>
      <c r="P247" t="str">
        <f t="shared" si="35"/>
        <v/>
      </c>
      <c r="Q247" t="str">
        <f t="shared" si="33"/>
        <v/>
      </c>
      <c r="R247" t="str">
        <f t="shared" si="34"/>
        <v/>
      </c>
      <c r="S247" t="str">
        <f t="shared" si="36"/>
        <v/>
      </c>
      <c r="T247" t="str">
        <f t="shared" si="37"/>
        <v/>
      </c>
      <c r="U247">
        <f t="shared" si="38"/>
        <v>0</v>
      </c>
      <c r="V247" t="str">
        <f t="shared" si="39"/>
        <v/>
      </c>
      <c r="W247">
        <f t="shared" si="40"/>
        <v>0</v>
      </c>
      <c r="X247">
        <f t="shared" si="41"/>
        <v>0</v>
      </c>
      <c r="Y247">
        <f t="shared" si="42"/>
        <v>0</v>
      </c>
      <c r="Z247">
        <f t="shared" si="43"/>
        <v>0</v>
      </c>
      <c r="AA247">
        <f t="shared" si="44"/>
        <v>0</v>
      </c>
      <c r="AB247">
        <f t="shared" si="45"/>
        <v>0</v>
      </c>
    </row>
    <row r="248" spans="1:28" x14ac:dyDescent="0.25">
      <c r="A248" s="119"/>
      <c r="B248" s="1200"/>
      <c r="C248" s="1200"/>
      <c r="D248" s="1272" t="s">
        <v>53</v>
      </c>
      <c r="E248" s="1199"/>
      <c r="F248" s="1200"/>
      <c r="G248" s="1200"/>
      <c r="H248" s="939" t="str">
        <f t="shared" si="47"/>
        <v/>
      </c>
      <c r="I248" s="939" t="str">
        <f t="shared" si="48"/>
        <v/>
      </c>
      <c r="J248" s="1634"/>
      <c r="K248" s="1634"/>
      <c r="L248" s="1635"/>
      <c r="M248" s="1636"/>
      <c r="N248" s="119"/>
      <c r="O248">
        <f t="shared" si="49"/>
        <v>0</v>
      </c>
      <c r="P248" t="str">
        <f t="shared" si="35"/>
        <v/>
      </c>
      <c r="Q248" t="str">
        <f t="shared" si="33"/>
        <v/>
      </c>
      <c r="R248" t="str">
        <f t="shared" si="34"/>
        <v/>
      </c>
      <c r="S248" t="str">
        <f t="shared" si="36"/>
        <v/>
      </c>
      <c r="T248" t="str">
        <f t="shared" si="37"/>
        <v/>
      </c>
      <c r="U248">
        <f t="shared" si="38"/>
        <v>0</v>
      </c>
      <c r="V248" t="str">
        <f t="shared" si="39"/>
        <v/>
      </c>
      <c r="W248">
        <f t="shared" si="40"/>
        <v>0</v>
      </c>
      <c r="X248">
        <f t="shared" si="41"/>
        <v>0</v>
      </c>
      <c r="Y248">
        <f t="shared" si="42"/>
        <v>0</v>
      </c>
      <c r="Z248">
        <f t="shared" si="43"/>
        <v>0</v>
      </c>
      <c r="AA248">
        <f t="shared" si="44"/>
        <v>0</v>
      </c>
      <c r="AB248">
        <f t="shared" si="45"/>
        <v>0</v>
      </c>
    </row>
    <row r="249" spans="1:28" x14ac:dyDescent="0.25">
      <c r="A249" s="119"/>
      <c r="B249" s="1200"/>
      <c r="C249" s="1200"/>
      <c r="D249" s="1272" t="s">
        <v>53</v>
      </c>
      <c r="E249" s="1199"/>
      <c r="F249" s="1200"/>
      <c r="G249" s="1200"/>
      <c r="H249" s="939" t="str">
        <f t="shared" si="47"/>
        <v/>
      </c>
      <c r="I249" s="939" t="str">
        <f t="shared" si="48"/>
        <v/>
      </c>
      <c r="J249" s="1634"/>
      <c r="K249" s="1634"/>
      <c r="L249" s="1635"/>
      <c r="M249" s="1636"/>
      <c r="N249" s="119"/>
      <c r="O249">
        <f t="shared" si="49"/>
        <v>0</v>
      </c>
      <c r="P249" t="str">
        <f t="shared" si="35"/>
        <v/>
      </c>
      <c r="Q249" t="str">
        <f t="shared" si="33"/>
        <v/>
      </c>
      <c r="R249" t="str">
        <f t="shared" si="34"/>
        <v/>
      </c>
      <c r="S249" t="str">
        <f t="shared" si="36"/>
        <v/>
      </c>
      <c r="T249" t="str">
        <f t="shared" si="37"/>
        <v/>
      </c>
      <c r="U249">
        <f t="shared" si="38"/>
        <v>0</v>
      </c>
      <c r="V249" t="str">
        <f t="shared" si="39"/>
        <v/>
      </c>
      <c r="W249">
        <f t="shared" si="40"/>
        <v>0</v>
      </c>
      <c r="X249">
        <f t="shared" si="41"/>
        <v>0</v>
      </c>
      <c r="Y249">
        <f t="shared" si="42"/>
        <v>0</v>
      </c>
      <c r="Z249">
        <f t="shared" si="43"/>
        <v>0</v>
      </c>
      <c r="AA249">
        <f t="shared" si="44"/>
        <v>0</v>
      </c>
      <c r="AB249">
        <f t="shared" si="45"/>
        <v>0</v>
      </c>
    </row>
    <row r="250" spans="1:28" x14ac:dyDescent="0.25">
      <c r="A250" s="119"/>
      <c r="B250" s="1200"/>
      <c r="C250" s="1200"/>
      <c r="D250" s="1272" t="s">
        <v>53</v>
      </c>
      <c r="E250" s="1199"/>
      <c r="F250" s="1200"/>
      <c r="G250" s="1200"/>
      <c r="H250" s="939" t="str">
        <f t="shared" si="47"/>
        <v/>
      </c>
      <c r="I250" s="939" t="str">
        <f t="shared" si="48"/>
        <v/>
      </c>
      <c r="J250" s="1634"/>
      <c r="K250" s="1634"/>
      <c r="L250" s="1635"/>
      <c r="M250" s="1636"/>
      <c r="N250" s="119"/>
      <c r="O250">
        <f t="shared" si="49"/>
        <v>0</v>
      </c>
      <c r="P250" t="str">
        <f t="shared" si="35"/>
        <v/>
      </c>
      <c r="Q250" t="str">
        <f t="shared" si="33"/>
        <v/>
      </c>
      <c r="R250" t="str">
        <f t="shared" si="34"/>
        <v/>
      </c>
      <c r="S250" t="str">
        <f t="shared" si="36"/>
        <v/>
      </c>
      <c r="T250" t="str">
        <f t="shared" si="37"/>
        <v/>
      </c>
      <c r="U250">
        <f t="shared" si="38"/>
        <v>0</v>
      </c>
      <c r="V250" t="str">
        <f t="shared" si="39"/>
        <v/>
      </c>
      <c r="W250">
        <f t="shared" si="40"/>
        <v>0</v>
      </c>
      <c r="X250">
        <f t="shared" si="41"/>
        <v>0</v>
      </c>
      <c r="Y250">
        <f t="shared" si="42"/>
        <v>0</v>
      </c>
      <c r="Z250">
        <f t="shared" si="43"/>
        <v>0</v>
      </c>
      <c r="AA250">
        <f t="shared" si="44"/>
        <v>0</v>
      </c>
      <c r="AB250">
        <f t="shared" si="45"/>
        <v>0</v>
      </c>
    </row>
    <row r="251" spans="1:28" x14ac:dyDescent="0.25">
      <c r="A251" s="119"/>
      <c r="B251" s="889"/>
      <c r="C251" s="889"/>
      <c r="D251" s="1272" t="s">
        <v>53</v>
      </c>
      <c r="E251" s="884"/>
      <c r="F251" s="889"/>
      <c r="G251" s="889"/>
      <c r="H251" s="939" t="str">
        <f t="shared" si="46"/>
        <v/>
      </c>
      <c r="I251" s="939" t="str">
        <f t="shared" si="31"/>
        <v/>
      </c>
      <c r="J251" s="1634"/>
      <c r="K251" s="1634"/>
      <c r="L251" s="1635"/>
      <c r="M251" s="1636"/>
      <c r="N251" s="119"/>
      <c r="O251">
        <f t="shared" si="32"/>
        <v>0</v>
      </c>
      <c r="P251" t="str">
        <f t="shared" si="35"/>
        <v/>
      </c>
      <c r="Q251" t="str">
        <f t="shared" si="33"/>
        <v/>
      </c>
      <c r="R251" t="str">
        <f t="shared" si="34"/>
        <v/>
      </c>
      <c r="S251" t="str">
        <f t="shared" si="36"/>
        <v/>
      </c>
      <c r="T251" t="str">
        <f t="shared" si="37"/>
        <v/>
      </c>
      <c r="U251">
        <f t="shared" si="38"/>
        <v>0</v>
      </c>
      <c r="V251" t="str">
        <f t="shared" si="39"/>
        <v/>
      </c>
      <c r="W251">
        <f t="shared" si="40"/>
        <v>0</v>
      </c>
      <c r="X251">
        <f t="shared" si="41"/>
        <v>0</v>
      </c>
      <c r="Y251">
        <f t="shared" si="42"/>
        <v>0</v>
      </c>
      <c r="Z251">
        <f t="shared" si="43"/>
        <v>0</v>
      </c>
      <c r="AA251">
        <f t="shared" si="44"/>
        <v>0</v>
      </c>
      <c r="AB251">
        <f t="shared" si="45"/>
        <v>0</v>
      </c>
    </row>
    <row r="252" spans="1:28" x14ac:dyDescent="0.25">
      <c r="A252" s="119"/>
      <c r="B252" s="889"/>
      <c r="C252" s="889"/>
      <c r="D252" s="1272" t="s">
        <v>53</v>
      </c>
      <c r="E252" s="884"/>
      <c r="F252" s="889"/>
      <c r="G252" s="889"/>
      <c r="H252" s="939" t="str">
        <f t="shared" si="46"/>
        <v/>
      </c>
      <c r="I252" s="939" t="str">
        <f t="shared" si="31"/>
        <v/>
      </c>
      <c r="J252" s="1634"/>
      <c r="K252" s="1634"/>
      <c r="L252" s="1635"/>
      <c r="M252" s="1636"/>
      <c r="N252" s="119"/>
      <c r="O252">
        <f t="shared" si="32"/>
        <v>0</v>
      </c>
      <c r="P252" t="str">
        <f t="shared" si="35"/>
        <v/>
      </c>
      <c r="Q252" t="str">
        <f t="shared" si="33"/>
        <v/>
      </c>
      <c r="R252" t="str">
        <f t="shared" si="34"/>
        <v/>
      </c>
      <c r="S252" t="str">
        <f t="shared" si="36"/>
        <v/>
      </c>
      <c r="T252" t="str">
        <f t="shared" si="37"/>
        <v/>
      </c>
      <c r="U252">
        <f t="shared" si="38"/>
        <v>0</v>
      </c>
      <c r="V252" t="str">
        <f t="shared" si="39"/>
        <v/>
      </c>
      <c r="W252">
        <f t="shared" si="40"/>
        <v>0</v>
      </c>
      <c r="X252">
        <f t="shared" si="41"/>
        <v>0</v>
      </c>
      <c r="Y252">
        <f t="shared" si="42"/>
        <v>0</v>
      </c>
      <c r="Z252">
        <f t="shared" si="43"/>
        <v>0</v>
      </c>
      <c r="AA252">
        <f t="shared" si="44"/>
        <v>0</v>
      </c>
      <c r="AB252">
        <f t="shared" si="45"/>
        <v>0</v>
      </c>
    </row>
    <row r="253" spans="1:28" x14ac:dyDescent="0.25">
      <c r="A253" s="119"/>
      <c r="B253" s="889"/>
      <c r="C253" s="889"/>
      <c r="D253" s="1272" t="s">
        <v>53</v>
      </c>
      <c r="E253" s="884"/>
      <c r="F253" s="889"/>
      <c r="G253" s="889"/>
      <c r="H253" s="939" t="str">
        <f t="shared" si="46"/>
        <v/>
      </c>
      <c r="I253" s="939" t="str">
        <f t="shared" si="31"/>
        <v/>
      </c>
      <c r="J253" s="1634"/>
      <c r="K253" s="1634"/>
      <c r="L253" s="1635"/>
      <c r="M253" s="1636"/>
      <c r="N253" s="119"/>
      <c r="O253">
        <f t="shared" si="32"/>
        <v>0</v>
      </c>
      <c r="P253" t="str">
        <f t="shared" si="35"/>
        <v/>
      </c>
      <c r="Q253" t="str">
        <f t="shared" si="33"/>
        <v/>
      </c>
      <c r="R253" t="str">
        <f t="shared" si="34"/>
        <v/>
      </c>
      <c r="S253" t="str">
        <f t="shared" si="36"/>
        <v/>
      </c>
      <c r="T253" t="str">
        <f t="shared" si="37"/>
        <v/>
      </c>
      <c r="U253">
        <f t="shared" si="38"/>
        <v>0</v>
      </c>
      <c r="V253" t="str">
        <f t="shared" si="39"/>
        <v/>
      </c>
      <c r="W253">
        <f t="shared" si="40"/>
        <v>0</v>
      </c>
      <c r="X253">
        <f t="shared" si="41"/>
        <v>0</v>
      </c>
      <c r="Y253">
        <f t="shared" si="42"/>
        <v>0</v>
      </c>
      <c r="Z253">
        <f t="shared" si="43"/>
        <v>0</v>
      </c>
      <c r="AA253">
        <f t="shared" si="44"/>
        <v>0</v>
      </c>
      <c r="AB253">
        <f t="shared" si="45"/>
        <v>0</v>
      </c>
    </row>
    <row r="254" spans="1:28" x14ac:dyDescent="0.25">
      <c r="A254" s="119"/>
      <c r="B254" s="889"/>
      <c r="C254" s="889"/>
      <c r="D254" s="1272" t="s">
        <v>53</v>
      </c>
      <c r="E254" s="884"/>
      <c r="F254" s="889"/>
      <c r="G254" s="889"/>
      <c r="H254" s="939" t="str">
        <f t="shared" si="46"/>
        <v/>
      </c>
      <c r="I254" s="939" t="str">
        <f t="shared" si="31"/>
        <v/>
      </c>
      <c r="J254" s="1634"/>
      <c r="K254" s="1634"/>
      <c r="L254" s="1635"/>
      <c r="M254" s="1636"/>
      <c r="N254" s="119"/>
      <c r="O254">
        <f t="shared" si="32"/>
        <v>0</v>
      </c>
      <c r="P254" t="str">
        <f t="shared" si="35"/>
        <v/>
      </c>
      <c r="Q254" t="str">
        <f t="shared" si="33"/>
        <v/>
      </c>
      <c r="R254" t="str">
        <f t="shared" si="34"/>
        <v/>
      </c>
      <c r="S254" t="str">
        <f t="shared" si="36"/>
        <v/>
      </c>
      <c r="T254" t="str">
        <f t="shared" si="37"/>
        <v/>
      </c>
      <c r="U254">
        <f t="shared" si="38"/>
        <v>0</v>
      </c>
      <c r="V254" t="str">
        <f t="shared" si="39"/>
        <v/>
      </c>
      <c r="W254">
        <f t="shared" si="40"/>
        <v>0</v>
      </c>
      <c r="X254">
        <f t="shared" si="41"/>
        <v>0</v>
      </c>
      <c r="Y254">
        <f t="shared" si="42"/>
        <v>0</v>
      </c>
      <c r="Z254">
        <f t="shared" si="43"/>
        <v>0</v>
      </c>
      <c r="AA254">
        <f t="shared" si="44"/>
        <v>0</v>
      </c>
      <c r="AB254">
        <f t="shared" si="45"/>
        <v>0</v>
      </c>
    </row>
    <row r="255" spans="1:28" x14ac:dyDescent="0.25">
      <c r="A255" s="119"/>
      <c r="B255" s="889"/>
      <c r="C255" s="889"/>
      <c r="D255" s="1272" t="s">
        <v>53</v>
      </c>
      <c r="E255" s="1268"/>
      <c r="F255" s="1271"/>
      <c r="G255" s="1271"/>
      <c r="H255" s="939" t="str">
        <f t="shared" si="46"/>
        <v/>
      </c>
      <c r="I255" s="939" t="str">
        <f t="shared" si="31"/>
        <v/>
      </c>
      <c r="J255" s="1634"/>
      <c r="K255" s="1634"/>
      <c r="L255" s="1635"/>
      <c r="M255" s="1636"/>
      <c r="N255" s="119"/>
      <c r="O255">
        <f t="shared" si="32"/>
        <v>0</v>
      </c>
      <c r="P255" t="str">
        <f t="shared" si="35"/>
        <v/>
      </c>
      <c r="Q255" t="str">
        <f t="shared" si="33"/>
        <v/>
      </c>
      <c r="R255" t="str">
        <f t="shared" si="34"/>
        <v/>
      </c>
      <c r="S255" t="str">
        <f t="shared" si="36"/>
        <v/>
      </c>
      <c r="T255" t="str">
        <f t="shared" si="37"/>
        <v/>
      </c>
      <c r="U255">
        <f t="shared" si="38"/>
        <v>0</v>
      </c>
      <c r="V255" t="str">
        <f t="shared" si="39"/>
        <v/>
      </c>
      <c r="W255">
        <f t="shared" si="40"/>
        <v>0</v>
      </c>
      <c r="X255">
        <f t="shared" si="41"/>
        <v>0</v>
      </c>
      <c r="Y255">
        <f t="shared" si="42"/>
        <v>0</v>
      </c>
      <c r="Z255">
        <f t="shared" si="43"/>
        <v>0</v>
      </c>
      <c r="AA255">
        <f t="shared" si="44"/>
        <v>0</v>
      </c>
      <c r="AB255">
        <f t="shared" si="45"/>
        <v>0</v>
      </c>
    </row>
    <row r="256" spans="1:28" ht="15" customHeight="1" x14ac:dyDescent="0.25">
      <c r="A256" s="119"/>
      <c r="B256" s="119"/>
      <c r="C256" s="119"/>
      <c r="D256" s="119"/>
      <c r="E256" s="119"/>
      <c r="F256" s="119"/>
      <c r="G256" s="119"/>
      <c r="H256" s="119"/>
      <c r="I256" s="119"/>
      <c r="J256" s="119"/>
      <c r="K256" s="119"/>
      <c r="L256" s="119"/>
      <c r="M256" s="119"/>
      <c r="N256" s="119"/>
      <c r="S256" t="str">
        <f>IFERROR(VLOOKUP(R256,$Q$83:$R$96,2,FALSE),"")</f>
        <v/>
      </c>
      <c r="T256" s="35" t="str">
        <f>IFERROR(SUMPRODUCT(T241:T255,U241:U255)/SUM(U241:U255),"")</f>
        <v/>
      </c>
      <c r="V256" t="str">
        <f>IFERROR(SUMPRODUCT(V241:V255,U241:U255)/SUM(U241:U255),"")</f>
        <v/>
      </c>
      <c r="W256" s="35" t="str">
        <f>IFERROR(SUMPRODUCT(W241:W255,X241:X255)/SUM(X241:X255),"")</f>
        <v/>
      </c>
      <c r="Y256" t="str">
        <f>IFERROR(SUMPRODUCT(Y241:Y255,X241:X255)/SUM(X241:X255),"")</f>
        <v/>
      </c>
      <c r="Z256" s="35" t="str">
        <f>IFERROR(SUMPRODUCT(Z241:Z255,AA241:AA255)/SUM(AA241:AA255),"")</f>
        <v/>
      </c>
      <c r="AB256" t="str">
        <f>IFERROR(SUMPRODUCT(AB241:AB255,AA241:AA255)/SUM(AA241:AA255),"")</f>
        <v/>
      </c>
    </row>
    <row r="257" spans="1:21" x14ac:dyDescent="0.25">
      <c r="A257" s="119"/>
      <c r="B257" s="943" t="s">
        <v>2434</v>
      </c>
      <c r="C257" s="119"/>
      <c r="D257" s="119"/>
      <c r="E257" s="119"/>
      <c r="F257" s="1329" t="str">
        <f>IF(AND(D260="",D266="",H266="",E234=""),"",IF(T275=TRUE,"→ One EP-1 point can be targeted for ",""))</f>
        <v/>
      </c>
      <c r="G257" s="119"/>
      <c r="H257" s="119"/>
      <c r="I257" s="119"/>
      <c r="J257" s="119"/>
      <c r="K257" s="119"/>
      <c r="L257" s="119"/>
      <c r="M257" s="119"/>
      <c r="N257" s="119"/>
      <c r="T257" s="35"/>
    </row>
    <row r="258" spans="1:21" ht="18" customHeight="1" x14ac:dyDescent="0.25">
      <c r="A258" s="119"/>
      <c r="B258" s="1631" t="s">
        <v>2432</v>
      </c>
      <c r="C258" s="1632"/>
      <c r="D258" s="942" t="str">
        <f>T256</f>
        <v/>
      </c>
      <c r="E258" s="119"/>
      <c r="F258" s="1329" t="str">
        <f>IF(F257&lt;&gt;"","100% improvement of CSPF for non-ducted air-conditioners","")</f>
        <v/>
      </c>
      <c r="G258" s="119"/>
      <c r="H258" s="119"/>
      <c r="I258" s="119"/>
      <c r="J258" s="119"/>
      <c r="K258" s="119"/>
      <c r="L258" s="119"/>
      <c r="M258" s="119"/>
      <c r="N258" s="119"/>
      <c r="T258" s="35"/>
    </row>
    <row r="259" spans="1:21" ht="18" customHeight="1" x14ac:dyDescent="0.25">
      <c r="A259" s="119"/>
      <c r="B259" s="1631" t="s">
        <v>2437</v>
      </c>
      <c r="C259" s="1632"/>
      <c r="D259" s="942" t="str">
        <f>V256</f>
        <v/>
      </c>
      <c r="E259" s="119"/>
      <c r="F259" s="1329" t="str">
        <f>IF(F257&lt;&gt;"","-AND- 50% improvement of COP for other types of direct expansion air-conditioners ","")</f>
        <v/>
      </c>
      <c r="G259" s="119"/>
      <c r="H259" s="119"/>
      <c r="I259" s="119"/>
      <c r="J259" s="119"/>
      <c r="K259" s="119"/>
      <c r="L259" s="119"/>
      <c r="M259" s="119"/>
      <c r="N259" s="119"/>
      <c r="T259" s="35"/>
    </row>
    <row r="260" spans="1:21" ht="18" customHeight="1" x14ac:dyDescent="0.25">
      <c r="A260" s="119"/>
      <c r="B260" s="1631" t="s">
        <v>2435</v>
      </c>
      <c r="C260" s="1632"/>
      <c r="D260" s="127" t="str">
        <f>IFERROR(D258/D259-1,"")</f>
        <v/>
      </c>
      <c r="E260" s="119"/>
      <c r="F260" s="1329" t="str">
        <f>IF(F258&lt;&gt;"","-AND- 25% improvement of COP for chillers with cooling capacity under 1055 kW","")</f>
        <v/>
      </c>
      <c r="G260" s="119"/>
      <c r="H260" s="119"/>
      <c r="I260" s="119"/>
      <c r="J260" s="119"/>
      <c r="K260" s="119"/>
      <c r="L260" s="1333"/>
      <c r="M260" s="119"/>
      <c r="N260" s="119"/>
      <c r="T260" s="35"/>
    </row>
    <row r="261" spans="1:21" ht="18" customHeight="1" x14ac:dyDescent="0.25">
      <c r="A261" s="119"/>
      <c r="B261" s="119"/>
      <c r="C261" s="119"/>
      <c r="D261" s="119"/>
      <c r="E261" s="119"/>
      <c r="F261" s="1329" t="str">
        <f>IF(F259&lt;&gt;"","-AND- 15% improvement of COP for chillers with cooling capacity above 1055 kW","")</f>
        <v/>
      </c>
      <c r="G261" s="119"/>
      <c r="H261" s="119"/>
      <c r="I261" s="119"/>
      <c r="J261" s="119"/>
      <c r="K261" s="119"/>
      <c r="L261" s="119"/>
      <c r="M261" s="119"/>
      <c r="N261" s="119"/>
      <c r="T261" s="35"/>
    </row>
    <row r="262" spans="1:21" ht="10.5" customHeight="1" x14ac:dyDescent="0.25">
      <c r="A262" s="119"/>
      <c r="B262" s="119"/>
      <c r="C262" s="119"/>
      <c r="D262" s="119"/>
      <c r="E262" s="119"/>
      <c r="F262" s="1329"/>
      <c r="G262" s="119"/>
      <c r="H262" s="119"/>
      <c r="I262" s="119"/>
      <c r="J262" s="119"/>
      <c r="K262" s="119"/>
      <c r="L262" s="119"/>
      <c r="M262" s="119"/>
      <c r="N262" s="119"/>
      <c r="T262" s="35"/>
    </row>
    <row r="263" spans="1:21" x14ac:dyDescent="0.25">
      <c r="A263" s="119"/>
      <c r="B263" s="943" t="s">
        <v>2438</v>
      </c>
      <c r="C263" s="119"/>
      <c r="D263" s="119"/>
      <c r="E263" s="119"/>
      <c r="F263" s="943" t="s">
        <v>2470</v>
      </c>
      <c r="G263" s="943"/>
      <c r="H263" s="119"/>
      <c r="I263" s="119"/>
      <c r="J263" s="119"/>
      <c r="K263" s="119"/>
      <c r="L263" s="119"/>
      <c r="M263" s="119"/>
      <c r="N263" s="119"/>
      <c r="T263" s="35"/>
    </row>
    <row r="264" spans="1:21" ht="18" customHeight="1" x14ac:dyDescent="0.25">
      <c r="A264" s="119"/>
      <c r="B264" s="1631" t="s">
        <v>2436</v>
      </c>
      <c r="C264" s="1632" t="s">
        <v>2436</v>
      </c>
      <c r="D264" s="942" t="str">
        <f>W256</f>
        <v/>
      </c>
      <c r="E264" s="119"/>
      <c r="F264" s="1631" t="s">
        <v>2436</v>
      </c>
      <c r="G264" s="1632" t="s">
        <v>2436</v>
      </c>
      <c r="H264" s="942" t="str">
        <f>Z256</f>
        <v/>
      </c>
      <c r="I264" s="119"/>
      <c r="J264" s="119"/>
      <c r="K264" s="119"/>
      <c r="L264" s="119"/>
      <c r="M264" s="119"/>
      <c r="N264" s="119"/>
      <c r="T264" s="35"/>
    </row>
    <row r="265" spans="1:21" ht="18" customHeight="1" x14ac:dyDescent="0.25">
      <c r="A265" s="119"/>
      <c r="B265" s="1631" t="s">
        <v>2437</v>
      </c>
      <c r="C265" s="1632" t="s">
        <v>2433</v>
      </c>
      <c r="D265" s="942" t="str">
        <f>Y256</f>
        <v/>
      </c>
      <c r="E265" s="119"/>
      <c r="F265" s="1631" t="s">
        <v>2437</v>
      </c>
      <c r="G265" s="1632" t="s">
        <v>2433</v>
      </c>
      <c r="H265" s="942" t="str">
        <f>AB256</f>
        <v/>
      </c>
      <c r="I265" s="119"/>
      <c r="J265" s="119"/>
      <c r="K265" s="119"/>
      <c r="L265" s="119"/>
      <c r="M265" s="119"/>
      <c r="N265" s="119"/>
      <c r="T265" s="35"/>
    </row>
    <row r="266" spans="1:21" ht="18" customHeight="1" x14ac:dyDescent="0.25">
      <c r="A266" s="119"/>
      <c r="B266" s="1631" t="s">
        <v>2435</v>
      </c>
      <c r="C266" s="1632" t="s">
        <v>2435</v>
      </c>
      <c r="D266" s="127" t="str">
        <f>IFERROR(D264/D265-1,"")</f>
        <v/>
      </c>
      <c r="E266" s="119"/>
      <c r="F266" s="1631" t="s">
        <v>2435</v>
      </c>
      <c r="G266" s="1632" t="s">
        <v>2435</v>
      </c>
      <c r="H266" s="127" t="str">
        <f>IFERROR(H264/H265-1,"")</f>
        <v/>
      </c>
      <c r="I266" s="119"/>
      <c r="J266" s="119"/>
      <c r="K266" s="119"/>
      <c r="L266" s="119"/>
      <c r="M266" s="119"/>
      <c r="N266" s="119"/>
      <c r="T266" s="35"/>
    </row>
    <row r="267" spans="1:21" ht="18" customHeight="1" x14ac:dyDescent="0.25">
      <c r="A267" s="119"/>
      <c r="B267" s="119"/>
      <c r="C267" s="119"/>
      <c r="D267" s="119"/>
      <c r="E267" s="119"/>
      <c r="F267" s="119"/>
      <c r="G267" s="119"/>
      <c r="H267" s="119"/>
      <c r="I267" s="119"/>
      <c r="J267" s="119"/>
      <c r="K267" s="119"/>
      <c r="L267" s="119"/>
      <c r="M267" s="119"/>
      <c r="N267" s="119"/>
      <c r="T267" s="35"/>
    </row>
    <row r="268" spans="1:21" ht="16.5" customHeight="1" x14ac:dyDescent="0.25">
      <c r="A268" s="159" t="s">
        <v>84</v>
      </c>
      <c r="B268" s="71"/>
      <c r="C268" s="71"/>
      <c r="D268" s="119"/>
      <c r="E268" s="119"/>
      <c r="F268" s="119"/>
      <c r="G268" s="119"/>
      <c r="H268" s="119"/>
      <c r="I268" s="119"/>
      <c r="J268" s="119"/>
      <c r="K268" s="119"/>
      <c r="L268" s="119"/>
      <c r="M268" s="119"/>
      <c r="N268" s="119"/>
      <c r="Q268" s="35"/>
      <c r="R268" s="35"/>
      <c r="S268" s="35"/>
      <c r="T268" s="35"/>
      <c r="U268" s="35"/>
    </row>
    <row r="269" spans="1:21" x14ac:dyDescent="0.25">
      <c r="A269" s="119"/>
      <c r="B269" s="119"/>
      <c r="C269" s="119"/>
      <c r="D269" s="119"/>
      <c r="E269" s="119"/>
      <c r="F269" s="119"/>
      <c r="G269" s="119"/>
      <c r="H269" s="119"/>
      <c r="I269" s="119"/>
      <c r="J269" s="119"/>
      <c r="K269" s="119"/>
      <c r="L269" s="119"/>
      <c r="M269" s="119"/>
      <c r="N269" s="119"/>
      <c r="Q269" s="35"/>
      <c r="R269" s="35"/>
      <c r="S269" s="35"/>
      <c r="U269" s="35"/>
    </row>
    <row r="270" spans="1:21" ht="21" customHeight="1" x14ac:dyDescent="0.25">
      <c r="A270" s="119"/>
      <c r="B270" s="1641" t="s">
        <v>85</v>
      </c>
      <c r="C270" s="1642"/>
      <c r="D270" s="1642"/>
      <c r="E270" s="1642"/>
      <c r="F270" s="1642"/>
      <c r="G270" s="615" t="s">
        <v>907</v>
      </c>
      <c r="H270" s="1638" t="s">
        <v>908</v>
      </c>
      <c r="I270" s="1639"/>
      <c r="J270" s="119"/>
      <c r="K270" s="119"/>
      <c r="L270" s="119"/>
      <c r="M270" s="119"/>
      <c r="N270" s="119"/>
      <c r="P270" s="35" t="s">
        <v>2439</v>
      </c>
      <c r="Q270" s="35" t="s">
        <v>2471</v>
      </c>
      <c r="R270" s="35" t="s">
        <v>2440</v>
      </c>
      <c r="S270" s="35" t="s">
        <v>2441</v>
      </c>
      <c r="T270" s="35" t="s">
        <v>2442</v>
      </c>
    </row>
    <row r="271" spans="1:21" ht="24" customHeight="1" x14ac:dyDescent="0.25">
      <c r="A271" s="119"/>
      <c r="B271" s="1648" t="str">
        <f>Submittals!G9</f>
        <v>• Schedule of all the HVAC equipment installed indicating CSPF/COP values</v>
      </c>
      <c r="C271" s="1649" t="s">
        <v>248</v>
      </c>
      <c r="D271" s="1649"/>
      <c r="E271" s="1649"/>
      <c r="F271" s="1650"/>
      <c r="G271" s="614" t="s">
        <v>53</v>
      </c>
      <c r="H271" s="1689"/>
      <c r="I271" s="1690"/>
      <c r="J271" s="119"/>
      <c r="K271" s="119"/>
      <c r="L271" s="119"/>
      <c r="M271" s="119"/>
      <c r="N271" s="119"/>
      <c r="O271" s="35" t="str">
        <f>IF(OR(B271="/",B271="No evidence required at this submission stage"),"Yes",IF(G271="Submitted","Yes","No"))</f>
        <v>No</v>
      </c>
      <c r="P271" s="35">
        <v>0.2</v>
      </c>
      <c r="Q271" s="35">
        <v>0.1</v>
      </c>
      <c r="R271" s="35">
        <v>0.05</v>
      </c>
      <c r="S271" s="35">
        <v>0.03</v>
      </c>
      <c r="T271" s="35" t="b">
        <f>AND($E$234&gt;=HLOOKUP($P$270,$P$270:$S$274,2,FALSE),$D$260&gt;=HLOOKUP($Q$270,$P$270:$S$274,2,FALSE),$D$266&gt;=HLOOKUP($R$270,$P$270:$S$274,2,FALSE),$H$266&gt;=HLOOKUP($S$270,$P$270:$S$274,2,FALSE))</f>
        <v>1</v>
      </c>
    </row>
    <row r="272" spans="1:21" ht="24" customHeight="1" x14ac:dyDescent="0.25">
      <c r="A272" s="119"/>
      <c r="B272" s="1648" t="str">
        <f>Submittals!G10</f>
        <v xml:space="preserve">• Schematic drawings of the HVAC system indicating location of all the equipment </v>
      </c>
      <c r="C272" s="1649" t="s">
        <v>248</v>
      </c>
      <c r="D272" s="1649"/>
      <c r="E272" s="1649"/>
      <c r="F272" s="1650"/>
      <c r="G272" s="773" t="s">
        <v>53</v>
      </c>
      <c r="H272" s="1689"/>
      <c r="I272" s="1690"/>
      <c r="J272" s="119"/>
      <c r="K272" s="119"/>
      <c r="L272" s="119"/>
      <c r="M272" s="119"/>
      <c r="N272" s="119"/>
      <c r="O272" s="35" t="str">
        <f>IF(OR(B272="/",B272="No evidence required at this submission stage"),"Yes",IF(G272="Submitted","Yes","No"))</f>
        <v>No</v>
      </c>
      <c r="P272" s="35">
        <v>0.4</v>
      </c>
      <c r="Q272" s="35">
        <v>0.2</v>
      </c>
      <c r="R272" s="35">
        <v>0.1</v>
      </c>
      <c r="S272" s="35">
        <v>0.06</v>
      </c>
      <c r="T272" s="35" t="b">
        <f>AND($E$234&gt;=HLOOKUP($P$270,$P$270:$S$274,3,FALSE),$D$260&gt;=HLOOKUP($Q$270,$P$270:$S$274,3,FALSE),$D$266&gt;=HLOOKUP($R$270,$P$270:$S$274,3,FALSE),$H$266&gt;=HLOOKUP($S$270,$P$270:$S$274,3,FALSE))</f>
        <v>1</v>
      </c>
    </row>
    <row r="273" spans="1:21" ht="24" customHeight="1" x14ac:dyDescent="0.25">
      <c r="A273" s="119"/>
      <c r="B273" s="1648" t="str">
        <f>Submittals!G11</f>
        <v>• Manufacturer's data of the HVAC equipment installed indicating CSPF/COP values</v>
      </c>
      <c r="C273" s="1649" t="s">
        <v>248</v>
      </c>
      <c r="D273" s="1649"/>
      <c r="E273" s="1649"/>
      <c r="F273" s="1650"/>
      <c r="G273" s="773" t="s">
        <v>53</v>
      </c>
      <c r="H273" s="1689"/>
      <c r="I273" s="1690"/>
      <c r="J273" s="119"/>
      <c r="K273" s="119"/>
      <c r="L273" s="119"/>
      <c r="M273" s="119"/>
      <c r="N273" s="119"/>
      <c r="O273" s="35" t="str">
        <f>IF(OR(B273="/",B273="No evidence required at this submission stage"),"Yes",IF(G273="Submitted","Yes","No"))</f>
        <v>No</v>
      </c>
      <c r="P273" s="35">
        <v>0.6</v>
      </c>
      <c r="Q273" s="35">
        <v>0.3</v>
      </c>
      <c r="R273" s="35">
        <v>0.15</v>
      </c>
      <c r="S273" s="35">
        <v>0.09</v>
      </c>
      <c r="T273" s="35" t="b">
        <f>AND($E$234&gt;=HLOOKUP($P$270,$P$270:$S$274,4,FALSE),$D$260&gt;=HLOOKUP($Q$270,$P$270:$S$274,4,FALSE),$D$266&gt;=HLOOKUP($R$270,$P$270:$S$274,4,FALSE),$H$266&gt;=HLOOKUP($S$270,$P$270:$S$274,4,FALSE))</f>
        <v>1</v>
      </c>
    </row>
    <row r="274" spans="1:21" ht="18" customHeight="1" x14ac:dyDescent="0.25">
      <c r="A274" s="119"/>
      <c r="B274" s="119"/>
      <c r="C274" s="119"/>
      <c r="D274" s="119"/>
      <c r="E274" s="119"/>
      <c r="F274" s="119"/>
      <c r="G274" s="119"/>
      <c r="H274" s="119"/>
      <c r="I274" s="119"/>
      <c r="J274" s="119"/>
      <c r="K274" s="119"/>
      <c r="L274" s="119"/>
      <c r="M274" s="119"/>
      <c r="N274" s="119"/>
      <c r="P274" s="35">
        <v>0.8</v>
      </c>
      <c r="Q274" s="35">
        <v>0.4</v>
      </c>
      <c r="R274" s="35">
        <v>0.2</v>
      </c>
      <c r="S274" s="35">
        <v>0.12</v>
      </c>
      <c r="T274" s="35" t="b">
        <f>AND($E$234&gt;=HLOOKUP($P$270,$P$270:$S$274,5,FALSE),$D$260&gt;=HLOOKUP($Q$270,$P$270:$S$274,5,FALSE),$D$266&gt;=HLOOKUP($R$270,$P$270:$S$274,5,FALSE),$H$266&gt;=HLOOKUP($S$270,$P$270:$S$274,5,FALSE))</f>
        <v>1</v>
      </c>
    </row>
    <row r="275" spans="1:21" ht="15" customHeight="1" x14ac:dyDescent="0.25">
      <c r="A275" s="1688" t="s">
        <v>5</v>
      </c>
      <c r="B275" s="1688"/>
      <c r="C275" s="1688"/>
      <c r="D275" s="119"/>
      <c r="E275" s="119"/>
      <c r="F275" s="119"/>
      <c r="G275" s="119"/>
      <c r="H275" s="119"/>
      <c r="I275" s="119"/>
      <c r="J275" s="119"/>
      <c r="K275" s="119"/>
      <c r="L275" s="119"/>
      <c r="M275" s="119"/>
      <c r="N275" s="119"/>
      <c r="P275" s="35">
        <v>1</v>
      </c>
      <c r="Q275" s="35">
        <v>0.5</v>
      </c>
      <c r="R275" s="35">
        <v>0.25</v>
      </c>
      <c r="S275" s="35">
        <v>0.15</v>
      </c>
      <c r="T275" s="35" t="b">
        <f>AND($E$234&gt;=HLOOKUP($P$270,$P$270:$S$274,5,FALSE),$D$260&gt;=HLOOKUP($Q$270,$P$270:$S$274,5,FALSE),$D$266&gt;=HLOOKUP($R$270,$P$270:$S$274,5,FALSE),$H$266&gt;=HLOOKUP($S$270,$P$270:$S$274,5,FALSE))</f>
        <v>1</v>
      </c>
      <c r="U275" s="35"/>
    </row>
    <row r="276" spans="1:21" x14ac:dyDescent="0.25">
      <c r="A276" s="119"/>
      <c r="B276" s="119"/>
      <c r="C276" s="119"/>
      <c r="D276" s="119"/>
      <c r="E276" s="119"/>
      <c r="F276" s="119"/>
      <c r="G276" s="119"/>
      <c r="H276" s="119"/>
      <c r="I276" s="119"/>
      <c r="J276" s="119"/>
      <c r="K276" s="119"/>
      <c r="L276" s="119"/>
      <c r="M276" s="119"/>
      <c r="N276" s="119"/>
    </row>
    <row r="277" spans="1:21" ht="18" customHeight="1" x14ac:dyDescent="0.25">
      <c r="A277" s="119"/>
      <c r="B277" s="120" t="s">
        <v>16</v>
      </c>
      <c r="C277" s="8">
        <f>IF(AND(D260="",D266="",H266="",E234=""),0,IF(T274=TRUE,4,IF(T273=TRUE,3,IF(T272=TRUE,2,IF(T271=TRUE,1,0)))))</f>
        <v>0</v>
      </c>
      <c r="D277" s="119"/>
      <c r="E277" s="119"/>
      <c r="F277" s="119"/>
      <c r="G277" s="119"/>
      <c r="H277" s="119"/>
      <c r="I277" s="119"/>
      <c r="J277" s="119"/>
      <c r="K277" s="119"/>
      <c r="L277" s="119"/>
      <c r="M277" s="119"/>
      <c r="N277" s="119"/>
    </row>
    <row r="278" spans="1:21" ht="18" customHeight="1" x14ac:dyDescent="0.25">
      <c r="A278" s="119"/>
      <c r="B278" s="120" t="s">
        <v>133</v>
      </c>
      <c r="C278" s="8" t="str">
        <f>IF(AND(COUNTIF(O271:O273,"Yes")=3,C277&gt;0),"Yes","No")</f>
        <v>No</v>
      </c>
      <c r="D278" s="119"/>
      <c r="E278" s="119"/>
      <c r="F278" s="119"/>
      <c r="G278" s="119"/>
      <c r="H278" s="119"/>
      <c r="I278" s="119"/>
      <c r="J278" s="119"/>
      <c r="K278" s="119"/>
      <c r="L278" s="119"/>
      <c r="M278" s="119"/>
      <c r="N278" s="119"/>
    </row>
    <row r="279" spans="1:21" ht="18" customHeight="1" x14ac:dyDescent="0.25">
      <c r="A279" s="119"/>
      <c r="B279" s="119"/>
      <c r="C279" s="119"/>
      <c r="D279" s="119"/>
      <c r="E279" s="119"/>
      <c r="F279" s="119"/>
      <c r="G279" s="119"/>
      <c r="H279" s="119"/>
      <c r="I279" s="119"/>
      <c r="J279" s="119"/>
      <c r="K279" s="119"/>
      <c r="L279" s="119"/>
      <c r="M279" s="119"/>
      <c r="N279" s="119"/>
    </row>
    <row r="280" spans="1:21" ht="18" customHeight="1" x14ac:dyDescent="0.25">
      <c r="A280" s="1667" t="s">
        <v>927</v>
      </c>
      <c r="B280" s="1667"/>
      <c r="C280" s="1667"/>
      <c r="D280" s="1667"/>
      <c r="E280" s="1667"/>
      <c r="F280" s="1667"/>
      <c r="G280" s="1667"/>
      <c r="H280" s="1667"/>
      <c r="I280" s="1667"/>
      <c r="J280" s="1667"/>
      <c r="K280" s="1667"/>
      <c r="L280" s="1667"/>
      <c r="M280" s="1667"/>
      <c r="N280" s="1667"/>
    </row>
    <row r="281" spans="1:21" ht="16.5" customHeight="1" x14ac:dyDescent="0.25">
      <c r="A281" s="45"/>
      <c r="B281" s="45"/>
      <c r="C281" s="45"/>
      <c r="D281" s="45"/>
      <c r="E281" s="45"/>
      <c r="F281" s="45"/>
      <c r="G281" s="45"/>
      <c r="H281" s="45"/>
      <c r="I281" s="45"/>
      <c r="J281" s="45"/>
      <c r="K281" s="45"/>
      <c r="L281" s="45"/>
      <c r="M281" s="45"/>
      <c r="N281" s="45"/>
    </row>
    <row r="282" spans="1:21" ht="16.5" customHeight="1" x14ac:dyDescent="0.25">
      <c r="A282" s="1688" t="s">
        <v>102</v>
      </c>
      <c r="B282" s="1688"/>
      <c r="C282" s="1688"/>
      <c r="D282" s="46"/>
      <c r="E282" s="46"/>
      <c r="F282" s="46"/>
      <c r="G282" s="46"/>
      <c r="H282" s="46"/>
      <c r="I282" s="46"/>
      <c r="J282" s="46"/>
      <c r="K282" s="46"/>
      <c r="L282" s="46"/>
      <c r="M282" s="46"/>
      <c r="N282" s="46"/>
    </row>
    <row r="283" spans="1:21" ht="18" customHeight="1" x14ac:dyDescent="0.25">
      <c r="A283" s="46"/>
      <c r="B283" s="46"/>
      <c r="C283" s="46"/>
      <c r="D283" s="46"/>
      <c r="E283" s="46"/>
      <c r="F283" s="46"/>
      <c r="G283" s="46"/>
      <c r="H283" s="46"/>
      <c r="I283" s="46"/>
      <c r="J283" s="46"/>
      <c r="K283" s="46"/>
      <c r="L283" s="46"/>
      <c r="M283" s="46"/>
      <c r="N283" s="46"/>
    </row>
    <row r="284" spans="1:21" x14ac:dyDescent="0.25">
      <c r="A284" s="46"/>
      <c r="B284" s="834" t="s">
        <v>1477</v>
      </c>
      <c r="C284" s="45"/>
      <c r="D284" s="46"/>
      <c r="E284" s="46"/>
      <c r="F284" s="46"/>
      <c r="G284" s="46"/>
      <c r="H284" s="46"/>
      <c r="I284" s="46"/>
      <c r="J284" s="46"/>
      <c r="K284" s="46"/>
      <c r="L284" s="46"/>
      <c r="M284" s="46"/>
      <c r="N284" s="46"/>
    </row>
    <row r="285" spans="1:21" x14ac:dyDescent="0.25">
      <c r="A285" s="46"/>
      <c r="B285" s="284"/>
      <c r="C285" s="45"/>
      <c r="D285" s="46"/>
      <c r="E285" s="46"/>
      <c r="F285" s="46"/>
      <c r="G285" s="46"/>
      <c r="H285" s="46"/>
      <c r="I285" s="46"/>
      <c r="J285" s="46"/>
      <c r="K285" s="46"/>
      <c r="L285" s="46"/>
      <c r="M285" s="46"/>
      <c r="N285" s="46"/>
    </row>
    <row r="286" spans="1:21" x14ac:dyDescent="0.25">
      <c r="A286" s="46"/>
      <c r="B286" s="544" t="s">
        <v>543</v>
      </c>
      <c r="C286" s="46"/>
      <c r="D286" s="46"/>
      <c r="E286" s="46"/>
      <c r="F286" s="46"/>
      <c r="G286" s="46"/>
      <c r="H286" s="46"/>
      <c r="I286" s="46"/>
      <c r="J286" s="46"/>
      <c r="K286" s="46"/>
      <c r="L286" s="46"/>
      <c r="M286" s="46"/>
      <c r="N286" s="46"/>
    </row>
    <row r="287" spans="1:21" x14ac:dyDescent="0.25">
      <c r="A287" s="46"/>
      <c r="B287" s="544"/>
      <c r="C287" s="46"/>
      <c r="D287" s="46"/>
      <c r="E287" s="46"/>
      <c r="F287" s="46"/>
      <c r="G287" s="46"/>
      <c r="H287" s="46"/>
      <c r="I287" s="46"/>
      <c r="J287" s="46"/>
      <c r="K287" s="46"/>
      <c r="L287" s="46"/>
      <c r="M287" s="46"/>
      <c r="N287" s="46"/>
    </row>
    <row r="288" spans="1:21" ht="70.5" customHeight="1" x14ac:dyDescent="0.25">
      <c r="A288" s="46"/>
      <c r="B288" s="1700" t="s">
        <v>1434</v>
      </c>
      <c r="C288" s="1701"/>
      <c r="D288" s="1701"/>
      <c r="E288" s="1701"/>
      <c r="F288" s="1701"/>
      <c r="G288" s="1701"/>
      <c r="H288" s="1701"/>
      <c r="I288" s="1701"/>
      <c r="J288" s="1702"/>
      <c r="K288" s="46"/>
      <c r="L288" s="46"/>
      <c r="M288" s="46"/>
      <c r="N288" s="46"/>
    </row>
    <row r="289" spans="1:14" x14ac:dyDescent="0.25">
      <c r="A289" s="46"/>
      <c r="B289" s="544"/>
      <c r="C289" s="46"/>
      <c r="D289" s="46"/>
      <c r="E289" s="46"/>
      <c r="F289" s="46"/>
      <c r="G289" s="46"/>
      <c r="H289" s="46"/>
      <c r="I289" s="46"/>
      <c r="J289" s="46"/>
      <c r="K289" s="46"/>
      <c r="L289" s="46"/>
      <c r="M289" s="46"/>
      <c r="N289" s="46"/>
    </row>
    <row r="290" spans="1:14" ht="11.25" customHeight="1" x14ac:dyDescent="0.25">
      <c r="A290" s="46"/>
      <c r="B290" s="535" t="s">
        <v>698</v>
      </c>
      <c r="C290" s="46"/>
      <c r="D290" s="46"/>
      <c r="E290" s="46"/>
      <c r="F290" s="46"/>
      <c r="G290" s="46"/>
      <c r="H290" s="46"/>
      <c r="I290" s="46"/>
      <c r="J290" s="46"/>
      <c r="K290" s="46"/>
      <c r="L290" s="46"/>
      <c r="M290" s="46"/>
      <c r="N290" s="46"/>
    </row>
    <row r="291" spans="1:14" ht="14.25" customHeight="1" x14ac:dyDescent="0.25">
      <c r="A291" s="46"/>
      <c r="B291" s="117"/>
      <c r="C291" s="46"/>
      <c r="D291" s="46"/>
      <c r="E291" s="46"/>
      <c r="F291" s="46"/>
      <c r="G291" s="46"/>
      <c r="H291" s="46"/>
      <c r="I291" s="46"/>
      <c r="J291" s="46"/>
      <c r="K291" s="46"/>
      <c r="L291" s="46"/>
      <c r="M291" s="46"/>
      <c r="N291" s="46"/>
    </row>
    <row r="292" spans="1:14" ht="18" customHeight="1" x14ac:dyDescent="0.25">
      <c r="A292" s="46"/>
      <c r="B292" s="1726" t="s">
        <v>852</v>
      </c>
      <c r="C292" s="1726"/>
      <c r="D292" s="1726"/>
      <c r="E292" s="1726"/>
      <c r="F292" s="1726"/>
      <c r="G292" s="589" t="s">
        <v>53</v>
      </c>
      <c r="H292" s="46"/>
      <c r="I292" s="46"/>
      <c r="J292" s="46"/>
      <c r="K292" s="46"/>
      <c r="L292" s="46"/>
      <c r="M292" s="46"/>
      <c r="N292" s="46"/>
    </row>
    <row r="293" spans="1:14" ht="18" customHeight="1" x14ac:dyDescent="0.25">
      <c r="A293" s="46"/>
      <c r="B293" s="1726" t="s">
        <v>856</v>
      </c>
      <c r="C293" s="1726"/>
      <c r="D293" s="1726"/>
      <c r="E293" s="1726"/>
      <c r="F293" s="1726"/>
      <c r="G293" s="589" t="s">
        <v>53</v>
      </c>
      <c r="H293" s="46"/>
      <c r="I293" s="46"/>
      <c r="J293" s="46"/>
      <c r="K293" s="46"/>
      <c r="L293" s="46"/>
      <c r="M293" s="46"/>
      <c r="N293" s="46"/>
    </row>
    <row r="294" spans="1:14" ht="18" customHeight="1" x14ac:dyDescent="0.25">
      <c r="A294" s="46"/>
      <c r="B294" s="1726" t="s">
        <v>857</v>
      </c>
      <c r="C294" s="1726"/>
      <c r="D294" s="1726"/>
      <c r="E294" s="1726"/>
      <c r="F294" s="1726"/>
      <c r="G294" s="595" t="s">
        <v>53</v>
      </c>
      <c r="H294" s="46"/>
      <c r="I294" s="46"/>
      <c r="J294" s="46"/>
      <c r="K294" s="46"/>
      <c r="L294" s="46"/>
      <c r="M294" s="46"/>
      <c r="N294" s="46"/>
    </row>
    <row r="295" spans="1:14" x14ac:dyDescent="0.25">
      <c r="A295" s="46"/>
      <c r="B295" s="46"/>
      <c r="C295" s="46"/>
      <c r="D295" s="46"/>
      <c r="E295" s="46"/>
      <c r="F295" s="46"/>
      <c r="G295" s="46"/>
      <c r="H295" s="46"/>
      <c r="I295" s="46"/>
      <c r="J295" s="46"/>
      <c r="K295" s="46"/>
      <c r="L295" s="46"/>
      <c r="M295" s="46"/>
      <c r="N295" s="46"/>
    </row>
    <row r="296" spans="1:14" x14ac:dyDescent="0.25">
      <c r="A296" s="46"/>
      <c r="B296" s="535" t="s">
        <v>854</v>
      </c>
      <c r="C296" s="46"/>
      <c r="D296" s="46"/>
      <c r="E296" s="46"/>
      <c r="F296" s="46"/>
      <c r="G296" s="46"/>
      <c r="H296" s="46"/>
      <c r="I296" s="46"/>
      <c r="J296" s="46"/>
      <c r="K296" s="46"/>
      <c r="L296" s="46"/>
      <c r="M296" s="46"/>
      <c r="N296" s="46"/>
    </row>
    <row r="297" spans="1:14" ht="13.5" customHeight="1" x14ac:dyDescent="0.25">
      <c r="A297" s="46"/>
      <c r="B297" s="46"/>
      <c r="C297" s="46"/>
      <c r="D297" s="46"/>
      <c r="E297" s="46"/>
      <c r="F297" s="46"/>
      <c r="G297" s="46"/>
      <c r="H297" s="46"/>
      <c r="I297" s="46"/>
      <c r="J297" s="46"/>
      <c r="K297" s="46"/>
      <c r="L297" s="46"/>
      <c r="M297" s="46"/>
      <c r="N297" s="46"/>
    </row>
    <row r="298" spans="1:14" ht="27" customHeight="1" x14ac:dyDescent="0.25">
      <c r="A298" s="46"/>
      <c r="B298" s="590" t="s">
        <v>855</v>
      </c>
      <c r="C298" s="1665" t="s">
        <v>853</v>
      </c>
      <c r="D298" s="1665"/>
      <c r="E298" s="1665" t="s">
        <v>1433</v>
      </c>
      <c r="F298" s="1735"/>
      <c r="G298" s="46"/>
      <c r="H298" s="46"/>
      <c r="I298" s="46"/>
      <c r="J298" s="46"/>
      <c r="K298" s="46"/>
      <c r="L298" s="46"/>
      <c r="M298" s="46"/>
      <c r="N298" s="46"/>
    </row>
    <row r="299" spans="1:14" x14ac:dyDescent="0.25">
      <c r="A299" s="46"/>
      <c r="B299" s="589"/>
      <c r="C299" s="1704"/>
      <c r="D299" s="1705"/>
      <c r="E299" s="1689"/>
      <c r="F299" s="1736"/>
      <c r="G299" s="532"/>
      <c r="H299" s="46"/>
      <c r="I299" s="46"/>
      <c r="J299" s="46"/>
      <c r="K299" s="46"/>
      <c r="L299" s="46"/>
      <c r="M299" s="46"/>
      <c r="N299" s="46"/>
    </row>
    <row r="300" spans="1:14" x14ac:dyDescent="0.25">
      <c r="A300" s="46"/>
      <c r="B300" s="589"/>
      <c r="C300" s="1704"/>
      <c r="D300" s="1705"/>
      <c r="E300" s="1689"/>
      <c r="F300" s="1736"/>
      <c r="G300" s="46"/>
      <c r="H300" s="46"/>
      <c r="I300" s="46"/>
      <c r="J300" s="46"/>
      <c r="K300" s="46"/>
      <c r="L300" s="46"/>
      <c r="M300" s="46"/>
      <c r="N300" s="46"/>
    </row>
    <row r="301" spans="1:14" x14ac:dyDescent="0.25">
      <c r="A301" s="46"/>
      <c r="B301" s="589"/>
      <c r="C301" s="1704"/>
      <c r="D301" s="1705"/>
      <c r="E301" s="1737"/>
      <c r="F301" s="1738"/>
      <c r="G301" s="532"/>
      <c r="H301" s="46"/>
      <c r="I301" s="46"/>
      <c r="J301" s="46"/>
      <c r="K301" s="46"/>
      <c r="L301" s="46"/>
      <c r="M301" s="46"/>
      <c r="N301" s="46"/>
    </row>
    <row r="302" spans="1:14" x14ac:dyDescent="0.25">
      <c r="A302" s="46"/>
      <c r="B302" s="836"/>
      <c r="C302" s="1704"/>
      <c r="D302" s="1705"/>
      <c r="E302" s="1739"/>
      <c r="F302" s="1740"/>
      <c r="G302" s="532"/>
      <c r="H302" s="46"/>
      <c r="I302" s="46"/>
      <c r="J302" s="46"/>
      <c r="K302" s="46"/>
      <c r="L302" s="46"/>
      <c r="M302" s="46"/>
      <c r="N302" s="46"/>
    </row>
    <row r="303" spans="1:14" x14ac:dyDescent="0.25">
      <c r="A303" s="46"/>
      <c r="B303" s="836"/>
      <c r="C303" s="1704"/>
      <c r="D303" s="1705"/>
      <c r="E303" s="1689"/>
      <c r="F303" s="1736"/>
      <c r="G303" s="46"/>
      <c r="H303" s="46"/>
      <c r="I303" s="46"/>
      <c r="J303" s="46"/>
      <c r="K303" s="46"/>
      <c r="L303" s="46"/>
      <c r="M303" s="46"/>
      <c r="N303" s="46"/>
    </row>
    <row r="304" spans="1:14" x14ac:dyDescent="0.25">
      <c r="A304" s="46"/>
      <c r="B304" s="836"/>
      <c r="C304" s="1704"/>
      <c r="D304" s="1705"/>
      <c r="E304" s="1689"/>
      <c r="F304" s="1736"/>
      <c r="G304" s="532"/>
      <c r="H304" s="46"/>
      <c r="I304" s="46"/>
      <c r="J304" s="46"/>
      <c r="K304" s="46"/>
      <c r="L304" s="46"/>
      <c r="M304" s="46"/>
      <c r="N304" s="46"/>
    </row>
    <row r="305" spans="1:21" x14ac:dyDescent="0.25">
      <c r="A305" s="46"/>
      <c r="B305" s="1189"/>
      <c r="C305" s="1704"/>
      <c r="D305" s="1705"/>
      <c r="E305" s="1689"/>
      <c r="F305" s="1736"/>
      <c r="G305" s="46"/>
      <c r="H305" s="46"/>
      <c r="I305" s="46"/>
      <c r="J305" s="46"/>
      <c r="K305" s="46"/>
      <c r="L305" s="46"/>
      <c r="M305" s="46"/>
      <c r="N305" s="46"/>
    </row>
    <row r="306" spans="1:21" x14ac:dyDescent="0.25">
      <c r="A306" s="46"/>
      <c r="B306" s="1189"/>
      <c r="C306" s="1704"/>
      <c r="D306" s="1705"/>
      <c r="E306" s="1737"/>
      <c r="F306" s="1738"/>
      <c r="G306" s="532"/>
      <c r="H306" s="46"/>
      <c r="I306" s="46"/>
      <c r="J306" s="46"/>
      <c r="K306" s="46"/>
      <c r="L306" s="46"/>
      <c r="M306" s="46"/>
      <c r="N306" s="46"/>
    </row>
    <row r="307" spans="1:21" x14ac:dyDescent="0.25">
      <c r="A307" s="46"/>
      <c r="B307" s="1189"/>
      <c r="C307" s="1704"/>
      <c r="D307" s="1705"/>
      <c r="E307" s="1739"/>
      <c r="F307" s="1740"/>
      <c r="G307" s="532"/>
      <c r="H307" s="46"/>
      <c r="I307" s="46"/>
      <c r="J307" s="46"/>
      <c r="K307" s="46"/>
      <c r="L307" s="46"/>
      <c r="M307" s="46"/>
      <c r="N307" s="46"/>
    </row>
    <row r="308" spans="1:21" x14ac:dyDescent="0.25">
      <c r="A308" s="46"/>
      <c r="B308" s="1189"/>
      <c r="C308" s="1704"/>
      <c r="D308" s="1705"/>
      <c r="E308" s="1689"/>
      <c r="F308" s="1736"/>
      <c r="G308" s="46"/>
      <c r="H308" s="46"/>
      <c r="I308" s="46"/>
      <c r="J308" s="46"/>
      <c r="K308" s="46"/>
      <c r="L308" s="46"/>
      <c r="M308" s="46"/>
      <c r="N308" s="46"/>
    </row>
    <row r="309" spans="1:21" x14ac:dyDescent="0.25">
      <c r="A309" s="46"/>
      <c r="B309" s="1189"/>
      <c r="C309" s="1704"/>
      <c r="D309" s="1705"/>
      <c r="E309" s="1689"/>
      <c r="F309" s="1736"/>
      <c r="G309" s="532"/>
      <c r="H309" s="46"/>
      <c r="I309" s="46"/>
      <c r="J309" s="46"/>
      <c r="K309" s="46"/>
      <c r="L309" s="46"/>
      <c r="M309" s="46"/>
      <c r="N309" s="46"/>
    </row>
    <row r="310" spans="1:21" x14ac:dyDescent="0.25">
      <c r="A310" s="46"/>
      <c r="B310" s="717"/>
      <c r="C310" s="1704"/>
      <c r="D310" s="1705"/>
      <c r="E310" s="1689"/>
      <c r="F310" s="1736"/>
      <c r="G310" s="46"/>
      <c r="H310" s="46"/>
      <c r="I310" s="46"/>
      <c r="J310" s="46"/>
      <c r="K310" s="46"/>
      <c r="L310" s="46"/>
      <c r="M310" s="46"/>
      <c r="N310" s="46"/>
    </row>
    <row r="311" spans="1:21" x14ac:dyDescent="0.25">
      <c r="A311" s="46"/>
      <c r="B311" s="589"/>
      <c r="C311" s="1704"/>
      <c r="D311" s="1705"/>
      <c r="E311" s="1689"/>
      <c r="F311" s="1690"/>
      <c r="G311" s="46"/>
      <c r="H311" s="46"/>
      <c r="I311" s="46"/>
      <c r="J311" s="46"/>
      <c r="K311" s="46"/>
      <c r="L311" s="46"/>
      <c r="M311" s="46"/>
      <c r="N311" s="46"/>
    </row>
    <row r="312" spans="1:21" x14ac:dyDescent="0.25">
      <c r="A312" s="46"/>
      <c r="B312" s="589"/>
      <c r="C312" s="1704"/>
      <c r="D312" s="1705"/>
      <c r="E312" s="1741"/>
      <c r="F312" s="1742"/>
      <c r="G312" s="46"/>
      <c r="H312" s="46"/>
      <c r="I312" s="46"/>
      <c r="J312" s="46"/>
      <c r="K312" s="46"/>
      <c r="L312" s="46"/>
      <c r="M312" s="46"/>
      <c r="N312" s="46"/>
    </row>
    <row r="313" spans="1:21" x14ac:dyDescent="0.25">
      <c r="A313" s="46"/>
      <c r="B313" s="589"/>
      <c r="C313" s="1704"/>
      <c r="D313" s="1705"/>
      <c r="E313" s="1689"/>
      <c r="F313" s="1736"/>
      <c r="G313" s="46"/>
      <c r="H313" s="46"/>
      <c r="I313" s="46"/>
      <c r="J313" s="46"/>
      <c r="K313" s="46"/>
      <c r="L313" s="46"/>
      <c r="M313" s="46"/>
      <c r="N313" s="46"/>
    </row>
    <row r="314" spans="1:21" ht="18.75" customHeight="1" x14ac:dyDescent="0.25">
      <c r="A314" s="46"/>
      <c r="B314" s="46"/>
      <c r="C314" s="46"/>
      <c r="D314" s="46"/>
      <c r="E314" s="46"/>
      <c r="F314" s="46"/>
      <c r="G314" s="46"/>
      <c r="H314" s="46"/>
      <c r="I314" s="46"/>
      <c r="J314" s="46"/>
      <c r="K314" s="46"/>
      <c r="L314" s="46"/>
      <c r="M314" s="46"/>
      <c r="N314" s="46"/>
    </row>
    <row r="315" spans="1:21" ht="19.5" customHeight="1" x14ac:dyDescent="0.25">
      <c r="A315" s="46"/>
      <c r="B315" s="1666" t="s">
        <v>851</v>
      </c>
      <c r="C315" s="1666"/>
      <c r="D315" s="116" t="str">
        <f>IF(COUNTIF(G292:G294,"Yes")=3,"Yes","No")</f>
        <v>No</v>
      </c>
      <c r="E315" s="46"/>
      <c r="F315" s="46"/>
      <c r="G315" s="46"/>
      <c r="H315" s="46"/>
      <c r="I315" s="46"/>
      <c r="J315" s="46"/>
      <c r="K315" s="46"/>
      <c r="L315" s="46"/>
      <c r="M315" s="46"/>
      <c r="N315" s="46"/>
    </row>
    <row r="316" spans="1:21" ht="16.5" customHeight="1" x14ac:dyDescent="0.25">
      <c r="A316" s="46"/>
      <c r="B316" s="46"/>
      <c r="C316" s="46"/>
      <c r="D316" s="46"/>
      <c r="E316" s="46"/>
      <c r="F316" s="46"/>
      <c r="G316" s="46"/>
      <c r="H316" s="46"/>
      <c r="I316" s="46"/>
      <c r="J316" s="46"/>
      <c r="K316" s="46"/>
      <c r="L316" s="46"/>
      <c r="M316" s="46"/>
      <c r="N316" s="46"/>
      <c r="Q316" s="35"/>
      <c r="R316" s="35"/>
      <c r="S316" s="35"/>
      <c r="T316" s="35"/>
      <c r="U316" s="35"/>
    </row>
    <row r="317" spans="1:21" ht="16.5" customHeight="1" x14ac:dyDescent="0.25">
      <c r="A317" s="1688" t="s">
        <v>84</v>
      </c>
      <c r="B317" s="1688"/>
      <c r="C317" s="1688"/>
      <c r="D317" s="46"/>
      <c r="E317" s="46"/>
      <c r="F317" s="46"/>
      <c r="G317" s="46"/>
      <c r="H317" s="46"/>
      <c r="I317" s="46"/>
      <c r="J317" s="46"/>
      <c r="K317" s="46"/>
      <c r="L317" s="46"/>
      <c r="M317" s="46"/>
      <c r="N317" s="46"/>
      <c r="Q317" s="35"/>
      <c r="R317" s="35"/>
      <c r="S317" s="35"/>
      <c r="T317" s="35"/>
      <c r="U317" s="35"/>
    </row>
    <row r="318" spans="1:21" x14ac:dyDescent="0.25">
      <c r="A318" s="46"/>
      <c r="B318" s="46"/>
      <c r="C318" s="46"/>
      <c r="D318" s="46"/>
      <c r="E318" s="46"/>
      <c r="F318" s="46"/>
      <c r="G318" s="46"/>
      <c r="H318" s="46"/>
      <c r="I318" s="46"/>
      <c r="J318" s="46"/>
      <c r="K318" s="46"/>
      <c r="L318" s="46"/>
      <c r="M318" s="46"/>
      <c r="N318" s="46"/>
      <c r="Q318" s="35"/>
      <c r="R318" s="35"/>
      <c r="S318" s="35"/>
      <c r="U318" s="35"/>
    </row>
    <row r="319" spans="1:21" ht="21" customHeight="1" x14ac:dyDescent="0.25">
      <c r="A319" s="46"/>
      <c r="B319" s="1641" t="s">
        <v>85</v>
      </c>
      <c r="C319" s="1642"/>
      <c r="D319" s="1642"/>
      <c r="E319" s="1642"/>
      <c r="F319" s="1642"/>
      <c r="G319" s="615" t="s">
        <v>907</v>
      </c>
      <c r="H319" s="1638" t="s">
        <v>908</v>
      </c>
      <c r="I319" s="1639"/>
      <c r="J319" s="46"/>
      <c r="K319" s="46"/>
      <c r="L319" s="46"/>
      <c r="M319" s="46"/>
      <c r="N319" s="46"/>
      <c r="Q319" s="35"/>
      <c r="R319" s="35"/>
      <c r="S319" s="35"/>
      <c r="U319" s="35"/>
    </row>
    <row r="320" spans="1:21" ht="24" customHeight="1" x14ac:dyDescent="0.25">
      <c r="A320" s="46"/>
      <c r="B320" s="1648" t="str">
        <f>Submittals!G12</f>
        <v xml:space="preserve">• Schematic drawings of the HVAC system indicating location of thermostats and diffusers </v>
      </c>
      <c r="C320" s="1649" t="s">
        <v>248</v>
      </c>
      <c r="D320" s="1649"/>
      <c r="E320" s="1649"/>
      <c r="F320" s="1650"/>
      <c r="G320" s="614" t="s">
        <v>53</v>
      </c>
      <c r="H320" s="1689"/>
      <c r="I320" s="1690"/>
      <c r="J320" s="46"/>
      <c r="K320" s="46"/>
      <c r="L320" s="46"/>
      <c r="M320" s="46"/>
      <c r="N320" s="46"/>
      <c r="O320" s="35" t="str">
        <f>IF(OR(B320="/",B320="No evidence required at this submission stage"),"Yes",IF(G320="Submitted","Yes","No"))</f>
        <v>No</v>
      </c>
      <c r="U320" s="35"/>
    </row>
    <row r="321" spans="1:21" ht="30" hidden="1" customHeight="1" x14ac:dyDescent="0.25">
      <c r="A321" s="46"/>
      <c r="B321" s="1648" t="str">
        <f>Submittals!G13</f>
        <v>• Evidence showing that appropriate zoning has been realised such as photographs, commissioning records, etc.</v>
      </c>
      <c r="C321" s="1649" t="s">
        <v>248</v>
      </c>
      <c r="D321" s="1649"/>
      <c r="E321" s="1649"/>
      <c r="F321" s="1650"/>
      <c r="G321" s="614" t="s">
        <v>53</v>
      </c>
      <c r="H321" s="1689"/>
      <c r="I321" s="1690"/>
      <c r="J321" s="46"/>
      <c r="K321" s="46"/>
      <c r="L321" s="46"/>
      <c r="M321" s="46"/>
      <c r="N321" s="46"/>
      <c r="O321" s="35" t="str">
        <f>IF(OR(B321="/",B321="No evidence required at this submission stage"),"Yes",IF(G321="Submitted","Yes","No"))</f>
        <v>No</v>
      </c>
      <c r="U321" s="35"/>
    </row>
    <row r="322" spans="1:21" ht="16.5" customHeight="1" x14ac:dyDescent="0.25">
      <c r="A322" s="46"/>
      <c r="B322" s="46"/>
      <c r="C322" s="46"/>
      <c r="D322" s="46"/>
      <c r="E322" s="46"/>
      <c r="F322" s="46"/>
      <c r="G322" s="46"/>
      <c r="H322" s="46"/>
      <c r="I322" s="46"/>
      <c r="J322" s="46"/>
      <c r="K322" s="46"/>
      <c r="L322" s="46"/>
      <c r="M322" s="46"/>
      <c r="N322" s="46"/>
      <c r="Q322" s="35"/>
      <c r="R322" s="35"/>
      <c r="S322" s="35"/>
      <c r="U322" s="35"/>
    </row>
    <row r="323" spans="1:21" ht="16.5" customHeight="1" x14ac:dyDescent="0.25">
      <c r="A323" s="1688" t="s">
        <v>5</v>
      </c>
      <c r="B323" s="1688"/>
      <c r="C323" s="1688"/>
      <c r="D323" s="46"/>
      <c r="E323" s="46"/>
      <c r="F323" s="46"/>
      <c r="G323" s="46"/>
      <c r="H323" s="46"/>
      <c r="I323" s="46"/>
      <c r="J323" s="46"/>
      <c r="K323" s="46"/>
      <c r="L323" s="46"/>
      <c r="M323" s="46"/>
      <c r="N323" s="46"/>
      <c r="U323" s="35"/>
    </row>
    <row r="324" spans="1:21" x14ac:dyDescent="0.25">
      <c r="A324" s="46"/>
      <c r="B324" s="46"/>
      <c r="C324" s="46"/>
      <c r="D324" s="46"/>
      <c r="E324" s="46"/>
      <c r="F324" s="46"/>
      <c r="G324" s="46"/>
      <c r="H324" s="46"/>
      <c r="I324" s="46"/>
      <c r="J324" s="46"/>
      <c r="K324" s="46"/>
      <c r="L324" s="46"/>
      <c r="M324" s="46"/>
      <c r="N324" s="46"/>
    </row>
    <row r="325" spans="1:21" ht="18" customHeight="1" x14ac:dyDescent="0.25">
      <c r="A325" s="46"/>
      <c r="B325" s="120" t="s">
        <v>16</v>
      </c>
      <c r="C325" s="8">
        <f>IF(D315="Yes",1,0)</f>
        <v>0</v>
      </c>
      <c r="D325" s="46"/>
      <c r="E325" s="46"/>
      <c r="F325" s="46"/>
      <c r="G325" s="46"/>
      <c r="H325" s="46"/>
      <c r="I325" s="46"/>
      <c r="J325" s="46"/>
      <c r="K325" s="46"/>
      <c r="L325" s="46"/>
      <c r="M325" s="46"/>
      <c r="N325" s="46"/>
    </row>
    <row r="326" spans="1:21" ht="18" customHeight="1" x14ac:dyDescent="0.25">
      <c r="A326" s="46"/>
      <c r="B326" s="120" t="s">
        <v>133</v>
      </c>
      <c r="C326" s="8" t="str">
        <f>IF(AND(COUNTIF(O320:O320,"Yes")=1,C325&gt;0),"Yes","No")</f>
        <v>No</v>
      </c>
      <c r="D326" s="46"/>
      <c r="E326" s="46"/>
      <c r="F326" s="46"/>
      <c r="G326" s="46"/>
      <c r="H326" s="46"/>
      <c r="I326" s="46"/>
      <c r="J326" s="46"/>
      <c r="K326" s="46"/>
      <c r="L326" s="46"/>
      <c r="M326" s="46"/>
      <c r="N326" s="46"/>
    </row>
    <row r="327" spans="1:21" ht="18" customHeight="1" x14ac:dyDescent="0.25">
      <c r="A327" s="46"/>
      <c r="B327" s="46"/>
      <c r="C327" s="46"/>
      <c r="D327" s="46"/>
      <c r="E327" s="46"/>
      <c r="F327" s="46"/>
      <c r="G327" s="46"/>
      <c r="H327" s="46"/>
      <c r="I327" s="46"/>
      <c r="J327" s="46"/>
      <c r="K327" s="46"/>
      <c r="L327" s="46"/>
      <c r="M327" s="46"/>
      <c r="N327" s="46"/>
    </row>
    <row r="328" spans="1:21" ht="18" customHeight="1" x14ac:dyDescent="0.25">
      <c r="A328" s="1667" t="s">
        <v>928</v>
      </c>
      <c r="B328" s="1667"/>
      <c r="C328" s="1667"/>
      <c r="D328" s="1667"/>
      <c r="E328" s="1667"/>
      <c r="F328" s="1667"/>
      <c r="G328" s="1667"/>
      <c r="H328" s="1667"/>
      <c r="I328" s="1667"/>
      <c r="J328" s="1667"/>
      <c r="K328" s="1667"/>
      <c r="L328" s="1667"/>
      <c r="M328" s="1667"/>
      <c r="N328" s="1667"/>
    </row>
    <row r="329" spans="1:21" ht="16.5" customHeight="1" x14ac:dyDescent="0.25">
      <c r="A329" s="45"/>
      <c r="B329" s="45"/>
      <c r="C329" s="45"/>
      <c r="D329" s="45"/>
      <c r="E329" s="45"/>
      <c r="F329" s="45"/>
      <c r="G329" s="45"/>
      <c r="H329" s="45"/>
      <c r="I329" s="45"/>
      <c r="J329" s="45"/>
      <c r="K329" s="45"/>
      <c r="L329" s="45"/>
      <c r="M329" s="45"/>
      <c r="N329" s="45"/>
    </row>
    <row r="330" spans="1:21" ht="15.75" customHeight="1" x14ac:dyDescent="0.25">
      <c r="A330" s="1688" t="s">
        <v>102</v>
      </c>
      <c r="B330" s="1688"/>
      <c r="C330" s="1688"/>
      <c r="D330" s="46"/>
      <c r="E330" s="46"/>
      <c r="F330" s="46"/>
      <c r="G330" s="46"/>
      <c r="H330" s="46"/>
      <c r="I330" s="46"/>
      <c r="J330" s="46"/>
      <c r="K330" s="46"/>
      <c r="L330" s="46"/>
      <c r="M330" s="46"/>
      <c r="N330" s="46"/>
    </row>
    <row r="331" spans="1:21" x14ac:dyDescent="0.25">
      <c r="A331" s="46"/>
      <c r="B331" s="46"/>
      <c r="C331" s="46"/>
      <c r="D331" s="46"/>
      <c r="E331" s="46"/>
      <c r="F331" s="46"/>
      <c r="G331" s="46"/>
      <c r="H331" s="46"/>
      <c r="I331" s="46"/>
      <c r="J331" s="46"/>
      <c r="K331" s="46"/>
      <c r="L331" s="46"/>
      <c r="M331" s="46"/>
      <c r="N331" s="46"/>
      <c r="Q331" s="35"/>
      <c r="R331" s="35"/>
      <c r="S331" s="35"/>
      <c r="T331" s="35"/>
      <c r="U331" s="35"/>
    </row>
    <row r="332" spans="1:21" x14ac:dyDescent="0.25">
      <c r="A332" s="46"/>
      <c r="B332" s="112" t="s">
        <v>2200</v>
      </c>
      <c r="C332" s="46"/>
      <c r="D332" s="46"/>
      <c r="E332" s="46"/>
      <c r="F332" s="46"/>
      <c r="G332" s="46"/>
      <c r="H332" s="46"/>
      <c r="I332" s="46"/>
      <c r="J332" s="46"/>
      <c r="K332" s="46"/>
      <c r="L332" s="46"/>
      <c r="M332" s="46"/>
      <c r="N332" s="46"/>
      <c r="Q332" s="35"/>
      <c r="R332" s="35"/>
      <c r="S332" s="35"/>
      <c r="T332" s="35"/>
      <c r="U332" s="35"/>
    </row>
    <row r="333" spans="1:21" x14ac:dyDescent="0.25">
      <c r="A333" s="46"/>
      <c r="B333" s="112"/>
      <c r="C333" s="46"/>
      <c r="D333" s="46"/>
      <c r="E333" s="46"/>
      <c r="F333" s="46"/>
      <c r="G333" s="46"/>
      <c r="H333" s="46"/>
      <c r="I333" s="46"/>
      <c r="J333" s="46"/>
      <c r="K333" s="46"/>
      <c r="L333" s="46"/>
      <c r="M333" s="46"/>
      <c r="N333" s="46"/>
      <c r="Q333" s="35"/>
      <c r="R333" s="35"/>
      <c r="S333" s="35"/>
      <c r="T333" s="35"/>
      <c r="U333" s="35"/>
    </row>
    <row r="334" spans="1:21" ht="16.5" customHeight="1" x14ac:dyDescent="0.25">
      <c r="A334" s="46"/>
      <c r="B334" s="724" t="s">
        <v>731</v>
      </c>
      <c r="C334" s="46"/>
      <c r="D334" s="46"/>
      <c r="E334" s="46"/>
      <c r="F334" s="46"/>
      <c r="G334" s="46"/>
      <c r="H334" s="46"/>
      <c r="I334" s="46"/>
      <c r="J334" s="46"/>
      <c r="K334" s="46"/>
      <c r="L334" s="46"/>
      <c r="M334" s="46"/>
      <c r="N334" s="46"/>
      <c r="Q334" s="35"/>
      <c r="R334" s="35"/>
      <c r="S334" s="35"/>
      <c r="T334" s="35"/>
      <c r="U334" s="35"/>
    </row>
    <row r="335" spans="1:21" ht="18" customHeight="1" x14ac:dyDescent="0.25">
      <c r="A335" s="46"/>
      <c r="B335" s="834"/>
      <c r="C335" s="46"/>
      <c r="D335" s="46"/>
      <c r="E335" s="46"/>
      <c r="F335" s="46"/>
      <c r="G335" s="46"/>
      <c r="H335" s="46"/>
      <c r="I335" s="46"/>
      <c r="J335" s="46"/>
      <c r="K335" s="46"/>
      <c r="L335" s="46"/>
      <c r="M335" s="46"/>
      <c r="N335" s="46"/>
      <c r="Q335" s="35"/>
      <c r="R335" s="35"/>
      <c r="S335" s="35"/>
      <c r="T335" s="35"/>
      <c r="U335" s="35"/>
    </row>
    <row r="336" spans="1:21" ht="16.5" customHeight="1" x14ac:dyDescent="0.25">
      <c r="A336" s="46"/>
      <c r="B336" s="1208" t="s">
        <v>2197</v>
      </c>
      <c r="C336" s="46"/>
      <c r="D336" s="46"/>
      <c r="E336" s="46"/>
      <c r="F336" s="46"/>
      <c r="G336" s="46"/>
      <c r="H336" s="46"/>
      <c r="I336" s="46"/>
      <c r="J336" s="46"/>
      <c r="K336" s="46"/>
      <c r="L336" s="46"/>
      <c r="M336" s="46"/>
      <c r="N336" s="46"/>
      <c r="Q336" s="35"/>
      <c r="R336" s="35"/>
      <c r="S336" s="35"/>
      <c r="T336" s="35"/>
      <c r="U336" s="35"/>
    </row>
    <row r="337" spans="1:21" ht="12" customHeight="1" x14ac:dyDescent="0.25">
      <c r="A337" s="46"/>
      <c r="B337" s="834"/>
      <c r="C337" s="46"/>
      <c r="D337" s="46"/>
      <c r="E337" s="46"/>
      <c r="F337" s="46"/>
      <c r="G337" s="46"/>
      <c r="H337" s="46"/>
      <c r="I337" s="46"/>
      <c r="J337" s="46"/>
      <c r="K337" s="46"/>
      <c r="L337" s="46"/>
      <c r="M337" s="46"/>
      <c r="N337" s="46"/>
      <c r="Q337" s="35"/>
      <c r="R337" s="35"/>
      <c r="S337" s="35"/>
      <c r="T337" s="35"/>
      <c r="U337" s="35"/>
    </row>
    <row r="338" spans="1:21" ht="12" customHeight="1" x14ac:dyDescent="0.25">
      <c r="A338" s="46"/>
      <c r="B338" s="284"/>
      <c r="C338" s="46"/>
      <c r="D338" s="46"/>
      <c r="E338" s="46"/>
      <c r="F338" s="46"/>
      <c r="G338" s="46"/>
      <c r="H338" s="46"/>
      <c r="I338" s="46"/>
      <c r="J338" s="46"/>
      <c r="K338" s="46"/>
      <c r="L338" s="46"/>
      <c r="M338" s="46"/>
      <c r="N338" s="46"/>
      <c r="Q338" s="35"/>
      <c r="R338" s="35"/>
      <c r="S338" s="35"/>
      <c r="T338" s="35"/>
      <c r="U338" s="35"/>
    </row>
    <row r="339" spans="1:21" ht="12" customHeight="1" x14ac:dyDescent="0.25">
      <c r="A339" s="46"/>
      <c r="B339" s="535" t="s">
        <v>1215</v>
      </c>
      <c r="C339" s="46"/>
      <c r="D339" s="46"/>
      <c r="E339" s="46"/>
      <c r="F339" s="46"/>
      <c r="G339" s="46"/>
      <c r="H339" s="46"/>
      <c r="I339" s="46"/>
      <c r="J339" s="46"/>
      <c r="K339" s="46"/>
      <c r="L339" s="46"/>
      <c r="M339" s="46"/>
      <c r="N339" s="46"/>
      <c r="Q339" s="35"/>
      <c r="R339" s="35"/>
      <c r="S339" s="35"/>
      <c r="T339" s="35"/>
      <c r="U339" s="35"/>
    </row>
    <row r="340" spans="1:21" ht="12.75" customHeight="1" x14ac:dyDescent="0.25">
      <c r="A340" s="46"/>
      <c r="B340" s="284"/>
      <c r="C340" s="46"/>
      <c r="D340" s="46"/>
      <c r="E340" s="46"/>
      <c r="F340" s="46"/>
      <c r="G340" s="46"/>
      <c r="H340" s="46"/>
      <c r="I340" s="46"/>
      <c r="J340" s="46"/>
      <c r="K340" s="46"/>
      <c r="L340" s="46"/>
      <c r="M340" s="46"/>
      <c r="N340" s="46"/>
      <c r="Q340" s="35"/>
      <c r="R340" s="35"/>
      <c r="S340" s="35"/>
      <c r="T340" s="35"/>
      <c r="U340" s="35"/>
    </row>
    <row r="341" spans="1:21" ht="18" customHeight="1" x14ac:dyDescent="0.25">
      <c r="A341" s="46"/>
      <c r="B341" s="1734" t="s">
        <v>625</v>
      </c>
      <c r="C341" s="1665"/>
      <c r="D341" s="1665" t="s">
        <v>2198</v>
      </c>
      <c r="E341" s="1665"/>
      <c r="F341" s="1665" t="s">
        <v>12</v>
      </c>
      <c r="G341" s="1665"/>
      <c r="H341" s="46"/>
      <c r="I341" s="46"/>
      <c r="J341" s="46"/>
      <c r="K341" s="46"/>
      <c r="L341" s="46"/>
      <c r="M341" s="46"/>
      <c r="N341" s="46"/>
      <c r="O341" t="str">
        <f>IF(B342&lt;&gt;"",IF(AND(D342&lt;&gt;"",D342&lt;&gt;"Select",D342&lt;&gt;"None"),"Yes","No"),"")</f>
        <v/>
      </c>
      <c r="Q341" s="35"/>
      <c r="R341" s="35"/>
      <c r="S341" s="35"/>
      <c r="T341" s="35"/>
      <c r="U341" s="35"/>
    </row>
    <row r="342" spans="1:21" x14ac:dyDescent="0.25">
      <c r="A342" s="46"/>
      <c r="B342" s="1689"/>
      <c r="C342" s="1690"/>
      <c r="D342" s="1689" t="s">
        <v>53</v>
      </c>
      <c r="E342" s="1690"/>
      <c r="F342" s="1689"/>
      <c r="G342" s="1690"/>
      <c r="H342" s="46"/>
      <c r="I342" s="46"/>
      <c r="J342" s="46"/>
      <c r="K342" s="46"/>
      <c r="L342" s="46"/>
      <c r="M342" s="46"/>
      <c r="N342" s="46"/>
      <c r="O342" t="str">
        <f>IF(B343&lt;&gt;"",IF(AND(D343&lt;&gt;"",D343&lt;&gt;"Select",D343&lt;&gt;"None"),"Yes","No"),"")</f>
        <v/>
      </c>
      <c r="Q342" s="35"/>
      <c r="R342" s="35"/>
      <c r="S342" s="35"/>
      <c r="T342" s="35"/>
      <c r="U342" s="35"/>
    </row>
    <row r="343" spans="1:21" x14ac:dyDescent="0.25">
      <c r="A343" s="46"/>
      <c r="B343" s="1689"/>
      <c r="C343" s="1690"/>
      <c r="D343" s="1689" t="s">
        <v>53</v>
      </c>
      <c r="E343" s="1690"/>
      <c r="F343" s="1689"/>
      <c r="G343" s="1690"/>
      <c r="H343" s="46"/>
      <c r="I343" s="46"/>
      <c r="J343" s="46"/>
      <c r="K343" s="46"/>
      <c r="L343" s="46"/>
      <c r="M343" s="46"/>
      <c r="N343" s="46"/>
      <c r="O343" t="str">
        <f t="shared" ref="O343:O350" si="50">IF(B344&lt;&gt;"",IF(AND(D344&lt;&gt;"",D344&lt;&gt;"Select",D344&lt;&gt;"None"),"Yes","No"),"")</f>
        <v/>
      </c>
      <c r="Q343" s="35"/>
      <c r="R343" s="35"/>
      <c r="S343" s="35"/>
      <c r="T343" s="35"/>
      <c r="U343" s="35"/>
    </row>
    <row r="344" spans="1:21" x14ac:dyDescent="0.25">
      <c r="A344" s="46"/>
      <c r="B344" s="1689"/>
      <c r="C344" s="1690"/>
      <c r="D344" s="1689" t="s">
        <v>53</v>
      </c>
      <c r="E344" s="1690"/>
      <c r="F344" s="1689"/>
      <c r="G344" s="1690"/>
      <c r="H344" s="46"/>
      <c r="I344" s="46"/>
      <c r="J344" s="46"/>
      <c r="K344" s="46"/>
      <c r="L344" s="46"/>
      <c r="M344" s="46"/>
      <c r="N344" s="46"/>
      <c r="O344" t="str">
        <f t="shared" si="50"/>
        <v/>
      </c>
      <c r="Q344" s="35"/>
      <c r="R344" s="35"/>
      <c r="S344" s="35"/>
      <c r="T344" s="35"/>
      <c r="U344" s="35"/>
    </row>
    <row r="345" spans="1:21" x14ac:dyDescent="0.25">
      <c r="A345" s="46"/>
      <c r="B345" s="1689"/>
      <c r="C345" s="1690"/>
      <c r="D345" s="1689" t="s">
        <v>53</v>
      </c>
      <c r="E345" s="1690"/>
      <c r="F345" s="1689"/>
      <c r="G345" s="1690"/>
      <c r="H345" s="46"/>
      <c r="I345" s="46"/>
      <c r="J345" s="46"/>
      <c r="K345" s="46"/>
      <c r="L345" s="46"/>
      <c r="M345" s="46"/>
      <c r="N345" s="46"/>
      <c r="O345" t="str">
        <f t="shared" si="50"/>
        <v/>
      </c>
      <c r="Q345" s="35"/>
      <c r="R345" s="35"/>
      <c r="S345" s="35"/>
      <c r="T345" s="35"/>
      <c r="U345" s="35"/>
    </row>
    <row r="346" spans="1:21" x14ac:dyDescent="0.25">
      <c r="A346" s="46"/>
      <c r="B346" s="1689"/>
      <c r="C346" s="1690"/>
      <c r="D346" s="1689" t="s">
        <v>53</v>
      </c>
      <c r="E346" s="1690"/>
      <c r="F346" s="1689"/>
      <c r="G346" s="1690"/>
      <c r="H346" s="46"/>
      <c r="I346" s="46"/>
      <c r="J346" s="46"/>
      <c r="K346" s="46"/>
      <c r="L346" s="46"/>
      <c r="M346" s="46"/>
      <c r="N346" s="46"/>
      <c r="O346" t="str">
        <f t="shared" si="50"/>
        <v/>
      </c>
      <c r="Q346" s="35"/>
      <c r="R346" s="35"/>
      <c r="S346" s="35"/>
      <c r="T346" s="35"/>
      <c r="U346" s="35"/>
    </row>
    <row r="347" spans="1:21" x14ac:dyDescent="0.25">
      <c r="A347" s="46"/>
      <c r="B347" s="1689"/>
      <c r="C347" s="1690"/>
      <c r="D347" s="1689" t="s">
        <v>53</v>
      </c>
      <c r="E347" s="1690"/>
      <c r="F347" s="1689"/>
      <c r="G347" s="1690"/>
      <c r="H347" s="46"/>
      <c r="I347" s="46"/>
      <c r="J347" s="46"/>
      <c r="K347" s="46"/>
      <c r="L347" s="46"/>
      <c r="M347" s="46"/>
      <c r="N347" s="46"/>
      <c r="O347" t="str">
        <f t="shared" si="50"/>
        <v/>
      </c>
      <c r="Q347" s="35"/>
      <c r="R347" s="35"/>
      <c r="S347" s="35"/>
      <c r="T347" s="35"/>
      <c r="U347" s="35"/>
    </row>
    <row r="348" spans="1:21" x14ac:dyDescent="0.25">
      <c r="A348" s="46"/>
      <c r="B348" s="1689"/>
      <c r="C348" s="1690"/>
      <c r="D348" s="1689" t="s">
        <v>53</v>
      </c>
      <c r="E348" s="1690"/>
      <c r="F348" s="1689"/>
      <c r="G348" s="1690"/>
      <c r="H348" s="46"/>
      <c r="I348" s="46"/>
      <c r="J348" s="46"/>
      <c r="K348" s="46"/>
      <c r="L348" s="46"/>
      <c r="M348" s="46"/>
      <c r="N348" s="46"/>
      <c r="O348" t="str">
        <f t="shared" si="50"/>
        <v/>
      </c>
      <c r="Q348" s="35"/>
      <c r="R348" s="35"/>
      <c r="S348" s="35"/>
      <c r="T348" s="35"/>
      <c r="U348" s="35"/>
    </row>
    <row r="349" spans="1:21" x14ac:dyDescent="0.25">
      <c r="A349" s="46"/>
      <c r="B349" s="1689"/>
      <c r="C349" s="1690"/>
      <c r="D349" s="1689" t="s">
        <v>53</v>
      </c>
      <c r="E349" s="1690"/>
      <c r="F349" s="1689"/>
      <c r="G349" s="1690"/>
      <c r="H349" s="46"/>
      <c r="I349" s="46"/>
      <c r="J349" s="46"/>
      <c r="K349" s="46"/>
      <c r="L349" s="46"/>
      <c r="M349" s="46"/>
      <c r="N349" s="46"/>
      <c r="O349" t="str">
        <f t="shared" si="50"/>
        <v/>
      </c>
      <c r="Q349" s="35"/>
      <c r="R349" s="35"/>
      <c r="S349" s="35"/>
      <c r="T349" s="35"/>
      <c r="U349" s="35"/>
    </row>
    <row r="350" spans="1:21" x14ac:dyDescent="0.25">
      <c r="A350" s="46"/>
      <c r="B350" s="1689"/>
      <c r="C350" s="1690"/>
      <c r="D350" s="1689" t="s">
        <v>53</v>
      </c>
      <c r="E350" s="1690"/>
      <c r="F350" s="1689"/>
      <c r="G350" s="1690"/>
      <c r="H350" s="46"/>
      <c r="I350" s="46"/>
      <c r="J350" s="46"/>
      <c r="K350" s="46"/>
      <c r="L350" s="46"/>
      <c r="M350" s="46"/>
      <c r="N350" s="46"/>
      <c r="O350" t="str">
        <f t="shared" si="50"/>
        <v/>
      </c>
      <c r="Q350" s="35"/>
      <c r="R350" s="35"/>
      <c r="S350" s="35"/>
      <c r="T350" s="35"/>
      <c r="U350" s="35"/>
    </row>
    <row r="351" spans="1:21" x14ac:dyDescent="0.25">
      <c r="A351" s="46"/>
      <c r="B351" s="1689"/>
      <c r="C351" s="1690"/>
      <c r="D351" s="1689" t="s">
        <v>53</v>
      </c>
      <c r="E351" s="1690"/>
      <c r="F351" s="1689"/>
      <c r="G351" s="1690"/>
      <c r="H351" s="46"/>
      <c r="I351" s="46"/>
      <c r="J351" s="46"/>
      <c r="K351" s="46"/>
      <c r="L351" s="46"/>
      <c r="M351" s="46"/>
      <c r="N351" s="46"/>
      <c r="Q351" s="35"/>
      <c r="R351" s="35"/>
      <c r="S351" s="35"/>
      <c r="T351" s="35"/>
      <c r="U351" s="35"/>
    </row>
    <row r="352" spans="1:21" ht="18" customHeight="1" x14ac:dyDescent="0.25">
      <c r="A352" s="46"/>
      <c r="B352" s="46"/>
      <c r="C352" s="46"/>
      <c r="D352" s="46"/>
      <c r="E352" s="46"/>
      <c r="F352" s="46"/>
      <c r="G352" s="46"/>
      <c r="H352" s="46"/>
      <c r="I352" s="46"/>
      <c r="J352" s="46"/>
      <c r="K352" s="46"/>
      <c r="L352" s="46"/>
      <c r="M352" s="46"/>
      <c r="N352" s="46"/>
      <c r="Q352" s="35"/>
      <c r="R352" s="35"/>
      <c r="S352" s="35"/>
      <c r="T352" s="35"/>
      <c r="U352" s="35"/>
    </row>
    <row r="353" spans="1:21" ht="18" customHeight="1" x14ac:dyDescent="0.25">
      <c r="A353" s="46"/>
      <c r="B353" s="1666" t="s">
        <v>2199</v>
      </c>
      <c r="C353" s="1666"/>
      <c r="D353" s="1666"/>
      <c r="E353" s="127" t="str">
        <f>IF(AND(COUNTIF(O341:O350,"No")=0,COUNTIF(O341:O350,"Yes")&gt;0),"Yes","No")</f>
        <v>No</v>
      </c>
      <c r="F353" s="46"/>
      <c r="G353" s="46"/>
      <c r="H353" s="46"/>
      <c r="I353" s="46"/>
      <c r="J353" s="46"/>
      <c r="K353" s="46"/>
      <c r="L353" s="46"/>
      <c r="M353" s="46"/>
      <c r="N353" s="46"/>
      <c r="Q353" s="35"/>
      <c r="R353" s="35"/>
      <c r="S353" s="35"/>
      <c r="T353" s="35"/>
      <c r="U353" s="35"/>
    </row>
    <row r="354" spans="1:21" ht="20.25" customHeight="1" x14ac:dyDescent="0.25">
      <c r="A354" s="278"/>
      <c r="B354" s="747"/>
      <c r="C354" s="278"/>
      <c r="D354" s="278"/>
      <c r="E354" s="278"/>
      <c r="F354" s="278"/>
      <c r="G354" s="278"/>
      <c r="H354" s="278"/>
      <c r="I354" s="278"/>
      <c r="J354" s="278"/>
      <c r="K354" s="278"/>
      <c r="L354" s="278"/>
      <c r="M354" s="278"/>
      <c r="N354" s="278"/>
      <c r="Q354" s="35"/>
      <c r="R354" s="35"/>
      <c r="S354" s="35"/>
      <c r="T354" s="35"/>
      <c r="U354" s="35"/>
    </row>
    <row r="355" spans="1:21" ht="18" customHeight="1" x14ac:dyDescent="0.25">
      <c r="A355" s="46"/>
      <c r="B355" s="112" t="s">
        <v>626</v>
      </c>
      <c r="C355" s="46"/>
      <c r="D355" s="46"/>
      <c r="E355" s="46"/>
      <c r="F355" s="46"/>
      <c r="G355" s="46"/>
      <c r="H355" s="46"/>
      <c r="I355" s="46"/>
      <c r="J355" s="46"/>
      <c r="K355" s="46"/>
      <c r="L355" s="46"/>
      <c r="M355" s="46"/>
      <c r="N355" s="46"/>
      <c r="Q355" s="35"/>
      <c r="R355" s="35"/>
      <c r="S355" s="35"/>
      <c r="T355" s="35"/>
      <c r="U355" s="35"/>
    </row>
    <row r="356" spans="1:21" x14ac:dyDescent="0.25">
      <c r="A356" s="46"/>
      <c r="B356" s="380"/>
      <c r="C356" s="46"/>
      <c r="D356" s="46"/>
      <c r="E356" s="46"/>
      <c r="F356" s="46"/>
      <c r="G356" s="46"/>
      <c r="H356" s="46"/>
      <c r="I356" s="46"/>
      <c r="J356" s="46"/>
      <c r="K356" s="46"/>
      <c r="L356" s="46"/>
      <c r="M356" s="46"/>
      <c r="N356" s="46"/>
      <c r="Q356" s="35"/>
      <c r="R356" s="35"/>
      <c r="S356" s="35"/>
      <c r="T356" s="35"/>
      <c r="U356" s="35"/>
    </row>
    <row r="357" spans="1:21" x14ac:dyDescent="0.25">
      <c r="A357" s="46"/>
      <c r="B357" s="1706" t="s">
        <v>1436</v>
      </c>
      <c r="C357" s="1707"/>
      <c r="D357" s="1707"/>
      <c r="E357" s="1707"/>
      <c r="F357" s="1707"/>
      <c r="G357" s="1707"/>
      <c r="H357" s="1707"/>
      <c r="I357" s="1707"/>
      <c r="J357" s="1707"/>
      <c r="K357" s="1708"/>
      <c r="L357" s="46"/>
      <c r="M357" s="46"/>
      <c r="N357" s="46"/>
      <c r="O357" t="s">
        <v>53</v>
      </c>
      <c r="Q357" s="35"/>
      <c r="R357" s="35"/>
      <c r="S357" s="35"/>
      <c r="T357" s="35"/>
      <c r="U357" s="35"/>
    </row>
    <row r="358" spans="1:21" x14ac:dyDescent="0.25">
      <c r="A358" s="46"/>
      <c r="B358" s="1731" t="s">
        <v>1213</v>
      </c>
      <c r="C358" s="1732"/>
      <c r="D358" s="1732"/>
      <c r="E358" s="1732"/>
      <c r="F358" s="1732"/>
      <c r="G358" s="1732"/>
      <c r="H358" s="1732"/>
      <c r="I358" s="1732"/>
      <c r="J358" s="1732"/>
      <c r="K358" s="1733"/>
      <c r="L358" s="46"/>
      <c r="M358" s="46"/>
      <c r="N358" s="46"/>
      <c r="O358" t="s">
        <v>1209</v>
      </c>
      <c r="Q358" s="35"/>
      <c r="R358" s="35"/>
      <c r="S358" s="35"/>
      <c r="T358" s="35"/>
      <c r="U358" s="35"/>
    </row>
    <row r="359" spans="1:21" ht="16.5" customHeight="1" x14ac:dyDescent="0.25">
      <c r="A359" s="46"/>
      <c r="B359" s="1712" t="s">
        <v>1435</v>
      </c>
      <c r="C359" s="1713"/>
      <c r="D359" s="1713"/>
      <c r="E359" s="1713"/>
      <c r="F359" s="1713"/>
      <c r="G359" s="1713"/>
      <c r="H359" s="1713"/>
      <c r="I359" s="1713"/>
      <c r="J359" s="1713"/>
      <c r="K359" s="1714"/>
      <c r="L359" s="46"/>
      <c r="M359" s="46"/>
      <c r="N359" s="46"/>
      <c r="O359" t="s">
        <v>1210</v>
      </c>
      <c r="Q359" s="35"/>
      <c r="R359" s="35"/>
      <c r="S359" s="35"/>
      <c r="T359" s="35"/>
      <c r="U359" s="35"/>
    </row>
    <row r="360" spans="1:21" ht="16.5" customHeight="1" x14ac:dyDescent="0.25">
      <c r="A360" s="46"/>
      <c r="B360" s="1712" t="s">
        <v>1247</v>
      </c>
      <c r="C360" s="1713"/>
      <c r="D360" s="1713"/>
      <c r="E360" s="1713"/>
      <c r="F360" s="1713"/>
      <c r="G360" s="1713"/>
      <c r="H360" s="1713"/>
      <c r="I360" s="1713"/>
      <c r="J360" s="1713"/>
      <c r="K360" s="1714"/>
      <c r="L360" s="46"/>
      <c r="M360" s="46"/>
      <c r="N360" s="46"/>
      <c r="O360" t="s">
        <v>1211</v>
      </c>
      <c r="Q360" s="35"/>
      <c r="R360" s="35"/>
      <c r="S360" s="35"/>
      <c r="T360" s="35"/>
      <c r="U360" s="35"/>
    </row>
    <row r="361" spans="1:21" ht="24.75" customHeight="1" x14ac:dyDescent="0.25">
      <c r="A361" s="46"/>
      <c r="B361" s="1730" t="s">
        <v>1248</v>
      </c>
      <c r="C361" s="1713"/>
      <c r="D361" s="1713"/>
      <c r="E361" s="1713"/>
      <c r="F361" s="1713"/>
      <c r="G361" s="1713"/>
      <c r="H361" s="1713"/>
      <c r="I361" s="1713"/>
      <c r="J361" s="1713"/>
      <c r="K361" s="1714"/>
      <c r="L361" s="46"/>
      <c r="M361" s="46"/>
      <c r="N361" s="46"/>
      <c r="O361" t="s">
        <v>1212</v>
      </c>
      <c r="Q361" s="35"/>
      <c r="R361" s="35"/>
      <c r="S361" s="35"/>
      <c r="T361" s="35"/>
      <c r="U361" s="35"/>
    </row>
    <row r="362" spans="1:21" x14ac:dyDescent="0.25">
      <c r="A362" s="46"/>
      <c r="B362" s="1709" t="s">
        <v>1246</v>
      </c>
      <c r="C362" s="1710"/>
      <c r="D362" s="1710"/>
      <c r="E362" s="1710"/>
      <c r="F362" s="1710"/>
      <c r="G362" s="1710"/>
      <c r="H362" s="1710"/>
      <c r="I362" s="1710"/>
      <c r="J362" s="1710"/>
      <c r="K362" s="1711"/>
      <c r="L362" s="46"/>
      <c r="M362" s="46"/>
      <c r="N362" s="46"/>
      <c r="Q362" s="35"/>
      <c r="R362" s="35"/>
      <c r="S362" s="35"/>
      <c r="T362" s="35"/>
      <c r="U362" s="35"/>
    </row>
    <row r="363" spans="1:21" ht="24" customHeight="1" x14ac:dyDescent="0.25">
      <c r="A363" s="46"/>
      <c r="B363" s="380"/>
      <c r="C363" s="46"/>
      <c r="D363" s="46"/>
      <c r="E363" s="46"/>
      <c r="F363" s="46"/>
      <c r="G363" s="46"/>
      <c r="H363" s="46"/>
      <c r="I363" s="46"/>
      <c r="J363" s="46"/>
      <c r="K363" s="46"/>
      <c r="L363" s="46"/>
      <c r="M363" s="46"/>
      <c r="N363" s="46"/>
      <c r="Q363" s="35"/>
      <c r="R363" s="35"/>
      <c r="S363" s="35"/>
      <c r="T363" s="35"/>
      <c r="U363" s="35"/>
    </row>
    <row r="364" spans="1:21" ht="45" customHeight="1" x14ac:dyDescent="0.25">
      <c r="A364" s="46"/>
      <c r="B364" s="1700" t="s">
        <v>1437</v>
      </c>
      <c r="C364" s="1701"/>
      <c r="D364" s="1701"/>
      <c r="E364" s="1701"/>
      <c r="F364" s="1701"/>
      <c r="G364" s="1701"/>
      <c r="H364" s="1701"/>
      <c r="I364" s="1701"/>
      <c r="J364" s="1701"/>
      <c r="K364" s="1702"/>
      <c r="L364" s="46"/>
      <c r="M364" s="46"/>
      <c r="N364" s="46"/>
      <c r="Q364" s="35"/>
      <c r="R364" s="35"/>
      <c r="S364" s="35"/>
      <c r="T364" s="35"/>
      <c r="U364" s="35"/>
    </row>
    <row r="365" spans="1:21" x14ac:dyDescent="0.25">
      <c r="A365" s="46"/>
      <c r="B365" s="380"/>
      <c r="C365" s="46"/>
      <c r="D365" s="46"/>
      <c r="E365" s="46"/>
      <c r="F365" s="46"/>
      <c r="G365" s="46"/>
      <c r="H365" s="46"/>
      <c r="I365" s="46"/>
      <c r="J365" s="46"/>
      <c r="K365" s="46"/>
      <c r="L365" s="46"/>
      <c r="M365" s="46"/>
      <c r="N365" s="46"/>
      <c r="Q365" s="35"/>
      <c r="R365" s="35"/>
      <c r="S365" s="35"/>
      <c r="T365" s="35"/>
      <c r="U365" s="35"/>
    </row>
    <row r="366" spans="1:21" ht="24" customHeight="1" x14ac:dyDescent="0.25">
      <c r="A366" s="46"/>
      <c r="B366" s="535" t="s">
        <v>1439</v>
      </c>
      <c r="C366" s="46"/>
      <c r="D366" s="46"/>
      <c r="E366" s="46"/>
      <c r="F366" s="46"/>
      <c r="G366" s="46"/>
      <c r="H366" s="46"/>
      <c r="I366" s="46"/>
      <c r="J366" s="46"/>
      <c r="K366" s="46"/>
      <c r="L366" s="46"/>
      <c r="M366" s="46"/>
      <c r="N366" s="46"/>
      <c r="Q366" s="35"/>
      <c r="R366" s="35"/>
      <c r="S366" s="35"/>
      <c r="T366" s="35"/>
      <c r="U366" s="35"/>
    </row>
    <row r="367" spans="1:21" ht="12" customHeight="1" x14ac:dyDescent="0.25">
      <c r="A367" s="46"/>
      <c r="B367" s="380"/>
      <c r="C367" s="46"/>
      <c r="D367" s="46"/>
      <c r="E367" s="46"/>
      <c r="F367" s="46"/>
      <c r="G367" s="46"/>
      <c r="H367" s="46"/>
      <c r="I367" s="46"/>
      <c r="J367" s="46"/>
      <c r="K367" s="46"/>
      <c r="L367" s="46"/>
      <c r="M367" s="46"/>
      <c r="N367" s="46"/>
      <c r="Q367" s="35"/>
      <c r="R367" s="35"/>
      <c r="S367" s="35"/>
      <c r="T367" s="35"/>
      <c r="U367" s="35"/>
    </row>
    <row r="368" spans="1:21" ht="21.75" customHeight="1" x14ac:dyDescent="0.25">
      <c r="A368" s="46"/>
      <c r="B368" s="719" t="s">
        <v>517</v>
      </c>
      <c r="C368" s="720" t="s">
        <v>1216</v>
      </c>
      <c r="D368" s="720" t="s">
        <v>1438</v>
      </c>
      <c r="E368" s="1665" t="s">
        <v>1208</v>
      </c>
      <c r="F368" s="1665"/>
      <c r="G368" s="46"/>
      <c r="H368" s="46"/>
      <c r="I368" s="46"/>
      <c r="J368" s="46"/>
      <c r="K368" s="46"/>
      <c r="L368" s="46"/>
      <c r="M368" s="46"/>
      <c r="N368" s="46"/>
      <c r="O368" t="str">
        <f>IF(AND(D369="Yes",E369&lt;&gt;"Select"),"Yes",IF(AND(D369="Yes",E369="Select"),"No",""))</f>
        <v/>
      </c>
      <c r="Q368" s="35"/>
      <c r="R368" s="35"/>
      <c r="S368" s="35"/>
      <c r="T368" s="35"/>
      <c r="U368" s="35"/>
    </row>
    <row r="369" spans="1:21" x14ac:dyDescent="0.25">
      <c r="A369" s="46"/>
      <c r="B369" s="841"/>
      <c r="C369" s="838"/>
      <c r="D369" s="841" t="s">
        <v>53</v>
      </c>
      <c r="E369" s="1704" t="s">
        <v>53</v>
      </c>
      <c r="F369" s="1705"/>
      <c r="G369" s="46"/>
      <c r="H369" s="46"/>
      <c r="I369" s="46"/>
      <c r="J369" s="46"/>
      <c r="K369" s="46"/>
      <c r="L369" s="46"/>
      <c r="M369" s="46"/>
      <c r="N369" s="46"/>
      <c r="O369" t="str">
        <f t="shared" ref="O369:O377" si="51">IF(AND(D370="Yes",E370&lt;&gt;"Select"),"Yes",IF(AND(D370="Yes",E370="Select"),"No",""))</f>
        <v/>
      </c>
      <c r="Q369" s="35"/>
      <c r="R369" s="35"/>
      <c r="S369" s="35"/>
      <c r="T369" s="35"/>
      <c r="U369" s="35"/>
    </row>
    <row r="370" spans="1:21" x14ac:dyDescent="0.25">
      <c r="A370" s="46"/>
      <c r="B370" s="841"/>
      <c r="C370" s="838"/>
      <c r="D370" s="841" t="s">
        <v>53</v>
      </c>
      <c r="E370" s="1704" t="s">
        <v>53</v>
      </c>
      <c r="F370" s="1705"/>
      <c r="G370" s="46"/>
      <c r="H370" s="46"/>
      <c r="I370" s="46"/>
      <c r="J370" s="46"/>
      <c r="K370" s="46"/>
      <c r="L370" s="46"/>
      <c r="M370" s="46"/>
      <c r="N370" s="46"/>
      <c r="O370" t="str">
        <f t="shared" si="51"/>
        <v/>
      </c>
      <c r="Q370" s="35"/>
      <c r="R370" s="35"/>
      <c r="S370" s="35"/>
      <c r="T370" s="35"/>
      <c r="U370" s="35"/>
    </row>
    <row r="371" spans="1:21" x14ac:dyDescent="0.25">
      <c r="A371" s="46"/>
      <c r="B371" s="841"/>
      <c r="C371" s="838"/>
      <c r="D371" s="841" t="s">
        <v>53</v>
      </c>
      <c r="E371" s="1704" t="s">
        <v>53</v>
      </c>
      <c r="F371" s="1705"/>
      <c r="G371" s="46"/>
      <c r="H371" s="46"/>
      <c r="I371" s="46"/>
      <c r="J371" s="46"/>
      <c r="K371" s="46"/>
      <c r="L371" s="46"/>
      <c r="M371" s="46"/>
      <c r="N371" s="46"/>
      <c r="O371" t="str">
        <f t="shared" si="51"/>
        <v/>
      </c>
      <c r="Q371" s="35"/>
      <c r="R371" s="35"/>
      <c r="S371" s="35"/>
      <c r="T371" s="35"/>
      <c r="U371" s="35"/>
    </row>
    <row r="372" spans="1:21" x14ac:dyDescent="0.25">
      <c r="A372" s="46"/>
      <c r="B372" s="841"/>
      <c r="C372" s="838"/>
      <c r="D372" s="841" t="s">
        <v>53</v>
      </c>
      <c r="E372" s="1704" t="s">
        <v>53</v>
      </c>
      <c r="F372" s="1705"/>
      <c r="G372" s="46"/>
      <c r="H372" s="46"/>
      <c r="I372" s="46"/>
      <c r="J372" s="46"/>
      <c r="K372" s="46"/>
      <c r="L372" s="46"/>
      <c r="M372" s="46"/>
      <c r="N372" s="46"/>
      <c r="O372" t="str">
        <f t="shared" si="51"/>
        <v/>
      </c>
      <c r="Q372" s="35"/>
      <c r="R372" s="35"/>
      <c r="S372" s="35"/>
      <c r="T372" s="35"/>
      <c r="U372" s="35"/>
    </row>
    <row r="373" spans="1:21" x14ac:dyDescent="0.25">
      <c r="A373" s="46"/>
      <c r="B373" s="841"/>
      <c r="C373" s="838"/>
      <c r="D373" s="841" t="s">
        <v>53</v>
      </c>
      <c r="E373" s="1704" t="s">
        <v>53</v>
      </c>
      <c r="F373" s="1705"/>
      <c r="G373" s="46"/>
      <c r="H373" s="46"/>
      <c r="I373" s="46"/>
      <c r="J373" s="46"/>
      <c r="K373" s="46"/>
      <c r="L373" s="46"/>
      <c r="M373" s="46"/>
      <c r="N373" s="46"/>
      <c r="O373" t="str">
        <f t="shared" si="51"/>
        <v/>
      </c>
      <c r="Q373" s="35"/>
      <c r="R373" s="35"/>
      <c r="S373" s="35"/>
      <c r="T373" s="35"/>
      <c r="U373" s="35"/>
    </row>
    <row r="374" spans="1:21" x14ac:dyDescent="0.25">
      <c r="A374" s="46"/>
      <c r="B374" s="841"/>
      <c r="C374" s="838"/>
      <c r="D374" s="841" t="s">
        <v>53</v>
      </c>
      <c r="E374" s="1704" t="s">
        <v>53</v>
      </c>
      <c r="F374" s="1705"/>
      <c r="G374" s="46"/>
      <c r="H374" s="46"/>
      <c r="I374" s="46"/>
      <c r="J374" s="46"/>
      <c r="K374" s="46"/>
      <c r="L374" s="46"/>
      <c r="M374" s="46"/>
      <c r="N374" s="46"/>
      <c r="O374" t="str">
        <f t="shared" si="51"/>
        <v/>
      </c>
      <c r="Q374" s="35"/>
      <c r="R374" s="35"/>
      <c r="S374" s="35"/>
      <c r="T374" s="35"/>
      <c r="U374" s="35"/>
    </row>
    <row r="375" spans="1:21" x14ac:dyDescent="0.25">
      <c r="A375" s="46"/>
      <c r="B375" s="841"/>
      <c r="C375" s="838"/>
      <c r="D375" s="841" t="s">
        <v>53</v>
      </c>
      <c r="E375" s="1704" t="s">
        <v>53</v>
      </c>
      <c r="F375" s="1705"/>
      <c r="G375" s="46"/>
      <c r="H375" s="46"/>
      <c r="I375" s="46"/>
      <c r="J375" s="46"/>
      <c r="K375" s="46"/>
      <c r="L375" s="46"/>
      <c r="M375" s="46"/>
      <c r="N375" s="46"/>
      <c r="O375" t="str">
        <f t="shared" si="51"/>
        <v/>
      </c>
      <c r="Q375" s="35"/>
      <c r="R375" s="35"/>
      <c r="S375" s="35"/>
      <c r="T375" s="35"/>
      <c r="U375" s="35"/>
    </row>
    <row r="376" spans="1:21" x14ac:dyDescent="0.25">
      <c r="A376" s="46"/>
      <c r="B376" s="841"/>
      <c r="C376" s="838"/>
      <c r="D376" s="841" t="s">
        <v>53</v>
      </c>
      <c r="E376" s="1704" t="s">
        <v>53</v>
      </c>
      <c r="F376" s="1705"/>
      <c r="G376" s="46"/>
      <c r="H376" s="46"/>
      <c r="I376" s="46"/>
      <c r="J376" s="46"/>
      <c r="K376" s="46"/>
      <c r="L376" s="46"/>
      <c r="M376" s="46"/>
      <c r="N376" s="46"/>
      <c r="O376" t="str">
        <f t="shared" si="51"/>
        <v/>
      </c>
      <c r="Q376" s="35"/>
      <c r="R376" s="35"/>
      <c r="S376" s="35"/>
      <c r="T376" s="35"/>
      <c r="U376" s="35"/>
    </row>
    <row r="377" spans="1:21" x14ac:dyDescent="0.25">
      <c r="A377" s="46"/>
      <c r="B377" s="841"/>
      <c r="C377" s="838"/>
      <c r="D377" s="841" t="s">
        <v>53</v>
      </c>
      <c r="E377" s="1704" t="s">
        <v>53</v>
      </c>
      <c r="F377" s="1705"/>
      <c r="G377" s="46"/>
      <c r="H377" s="46"/>
      <c r="I377" s="46"/>
      <c r="J377" s="46"/>
      <c r="K377" s="46"/>
      <c r="L377" s="46"/>
      <c r="M377" s="46"/>
      <c r="N377" s="46"/>
      <c r="O377" t="str">
        <f t="shared" si="51"/>
        <v/>
      </c>
      <c r="Q377" s="35"/>
      <c r="R377" s="35"/>
      <c r="S377" s="35"/>
      <c r="T377" s="35"/>
      <c r="U377" s="35"/>
    </row>
    <row r="378" spans="1:21" x14ac:dyDescent="0.25">
      <c r="A378" s="46"/>
      <c r="B378" s="841"/>
      <c r="C378" s="838"/>
      <c r="D378" s="841" t="s">
        <v>53</v>
      </c>
      <c r="E378" s="1704" t="s">
        <v>53</v>
      </c>
      <c r="F378" s="1705"/>
      <c r="G378" s="46"/>
      <c r="H378" s="46"/>
      <c r="I378" s="46"/>
      <c r="J378" s="46"/>
      <c r="K378" s="46"/>
      <c r="L378" s="46"/>
      <c r="M378" s="46"/>
      <c r="N378" s="46"/>
      <c r="Q378" s="35"/>
      <c r="R378" s="35"/>
      <c r="S378" s="35"/>
      <c r="T378" s="35"/>
      <c r="U378" s="35"/>
    </row>
    <row r="379" spans="1:21" ht="19.5" customHeight="1" x14ac:dyDescent="0.25">
      <c r="A379" s="46"/>
      <c r="B379" s="380"/>
      <c r="C379" s="46"/>
      <c r="D379" s="46"/>
      <c r="E379" s="46"/>
      <c r="F379" s="46"/>
      <c r="G379" s="46"/>
      <c r="H379" s="46"/>
      <c r="I379" s="46"/>
      <c r="J379" s="46"/>
      <c r="K379" s="46"/>
      <c r="L379" s="46"/>
      <c r="M379" s="46"/>
      <c r="N379" s="46"/>
      <c r="Q379" s="35"/>
      <c r="R379" s="35"/>
      <c r="S379" s="35"/>
      <c r="T379" s="35"/>
      <c r="U379" s="35"/>
    </row>
    <row r="380" spans="1:21" ht="21" customHeight="1" x14ac:dyDescent="0.25">
      <c r="A380" s="46"/>
      <c r="B380" s="1666" t="s">
        <v>1214</v>
      </c>
      <c r="C380" s="1666"/>
      <c r="D380" s="1666"/>
      <c r="E380" s="127" t="str">
        <f>IF(AND(COUNTIF(O368:O377,"No")=0,COUNTIF(O368:O377,"Yes")&gt;0),"Yes","No")</f>
        <v>No</v>
      </c>
      <c r="F380" s="46"/>
      <c r="G380" s="46"/>
      <c r="H380" s="46"/>
      <c r="I380" s="46"/>
      <c r="J380" s="46"/>
      <c r="K380" s="46"/>
      <c r="L380" s="46"/>
      <c r="M380" s="46"/>
      <c r="N380" s="46"/>
      <c r="Q380" s="35"/>
      <c r="R380" s="35"/>
      <c r="S380" s="35"/>
      <c r="T380" s="35"/>
      <c r="U380" s="35"/>
    </row>
    <row r="381" spans="1:21" ht="20.25" customHeight="1" x14ac:dyDescent="0.25">
      <c r="A381" s="46"/>
      <c r="B381" s="46"/>
      <c r="C381" s="46"/>
      <c r="D381" s="46"/>
      <c r="E381" s="46"/>
      <c r="F381" s="46"/>
      <c r="G381" s="46"/>
      <c r="H381" s="46"/>
      <c r="I381" s="46"/>
      <c r="J381" s="46"/>
      <c r="K381" s="46"/>
      <c r="L381" s="46"/>
      <c r="M381" s="46"/>
      <c r="N381" s="46"/>
      <c r="Q381" s="35"/>
      <c r="R381" s="35"/>
      <c r="S381" s="35"/>
      <c r="T381" s="35"/>
      <c r="U381" s="35"/>
    </row>
    <row r="382" spans="1:21" ht="15.75" customHeight="1" x14ac:dyDescent="0.25">
      <c r="A382" s="1688" t="s">
        <v>84</v>
      </c>
      <c r="B382" s="1688"/>
      <c r="C382" s="1688"/>
      <c r="D382" s="46"/>
      <c r="E382" s="46"/>
      <c r="F382" s="46"/>
      <c r="G382" s="46"/>
      <c r="H382" s="46"/>
      <c r="I382" s="46"/>
      <c r="J382" s="46"/>
      <c r="K382" s="46"/>
      <c r="L382" s="46"/>
      <c r="M382" s="46"/>
      <c r="N382" s="46"/>
      <c r="Q382" s="35"/>
      <c r="R382" s="35"/>
      <c r="S382" s="35"/>
      <c r="T382" s="35"/>
      <c r="U382" s="35"/>
    </row>
    <row r="383" spans="1:21" x14ac:dyDescent="0.25">
      <c r="A383" s="46"/>
      <c r="B383" s="46"/>
      <c r="C383" s="46"/>
      <c r="D383" s="46"/>
      <c r="E383" s="46"/>
      <c r="F383" s="46"/>
      <c r="G383" s="46"/>
      <c r="H383" s="46"/>
      <c r="I383" s="46"/>
      <c r="J383" s="46"/>
      <c r="K383" s="46"/>
      <c r="L383" s="46"/>
      <c r="M383" s="46"/>
      <c r="N383" s="46"/>
      <c r="Q383" s="35"/>
      <c r="R383" s="35"/>
      <c r="S383" s="35"/>
      <c r="U383" s="35"/>
    </row>
    <row r="384" spans="1:21" ht="21" customHeight="1" x14ac:dyDescent="0.25">
      <c r="A384" s="46"/>
      <c r="B384" s="1641" t="s">
        <v>930</v>
      </c>
      <c r="C384" s="1642"/>
      <c r="D384" s="1642"/>
      <c r="E384" s="1642"/>
      <c r="F384" s="1642"/>
      <c r="G384" s="603" t="s">
        <v>907</v>
      </c>
      <c r="H384" s="1638" t="s">
        <v>908</v>
      </c>
      <c r="I384" s="1639"/>
      <c r="J384" s="46"/>
      <c r="K384" s="46"/>
      <c r="L384" s="46"/>
      <c r="M384" s="46"/>
      <c r="N384" s="46"/>
      <c r="Q384" s="35"/>
      <c r="R384" s="35"/>
      <c r="S384" s="35"/>
      <c r="U384" s="35"/>
    </row>
    <row r="385" spans="1:21" ht="30" customHeight="1" x14ac:dyDescent="0.25">
      <c r="A385" s="46"/>
      <c r="B385" s="1648" t="str">
        <f>Submittals!G14</f>
        <v>• Schedule of all the HVAC equipment installed including equipment ensuring better part-load systems efficiency</v>
      </c>
      <c r="C385" s="1649" t="s">
        <v>248</v>
      </c>
      <c r="D385" s="1649"/>
      <c r="E385" s="1649"/>
      <c r="F385" s="1650"/>
      <c r="G385" s="614" t="s">
        <v>53</v>
      </c>
      <c r="H385" s="1689"/>
      <c r="I385" s="1690"/>
      <c r="J385" s="46"/>
      <c r="K385" s="46"/>
      <c r="L385" s="46"/>
      <c r="M385" s="46"/>
      <c r="N385" s="46"/>
      <c r="O385" s="35" t="str">
        <f>IF(OR(B385="/",B385="No evidence required at this submission stage"),"Yes",IF(G385="Submitted","Yes","No"))</f>
        <v>No</v>
      </c>
      <c r="U385" s="35"/>
    </row>
    <row r="386" spans="1:21" ht="24" customHeight="1" x14ac:dyDescent="0.25">
      <c r="A386" s="46"/>
      <c r="B386" s="1648" t="str">
        <f>Submittals!G15</f>
        <v xml:space="preserve">• Schematic drawings of the HVAC system indicating location of all the equipment </v>
      </c>
      <c r="C386" s="1649" t="s">
        <v>248</v>
      </c>
      <c r="D386" s="1649"/>
      <c r="E386" s="1649"/>
      <c r="F386" s="1650"/>
      <c r="G386" s="1162" t="s">
        <v>53</v>
      </c>
      <c r="H386" s="1689"/>
      <c r="I386" s="1690"/>
      <c r="J386" s="46"/>
      <c r="K386" s="46"/>
      <c r="L386" s="46"/>
      <c r="M386" s="46"/>
      <c r="N386" s="46"/>
      <c r="O386" s="35" t="str">
        <f>IF(OR(B386="/",B386="No evidence required at this submission stage"),"Yes",IF(G386="Submitted","Yes","No"))</f>
        <v>No</v>
      </c>
      <c r="U386" s="35"/>
    </row>
    <row r="387" spans="1:21" ht="24" customHeight="1" x14ac:dyDescent="0.25">
      <c r="A387" s="46"/>
      <c r="B387" s="1648" t="str">
        <f>Submittals!G16</f>
        <v>• Evidence showing the equipment installed to ensure better part-load systems efficiency such as photographs, commissioning records, etc.</v>
      </c>
      <c r="C387" s="1649" t="s">
        <v>248</v>
      </c>
      <c r="D387" s="1649"/>
      <c r="E387" s="1649"/>
      <c r="F387" s="1650"/>
      <c r="G387" s="700" t="s">
        <v>53</v>
      </c>
      <c r="H387" s="1689"/>
      <c r="I387" s="1690"/>
      <c r="J387" s="46"/>
      <c r="K387" s="46"/>
      <c r="L387" s="46"/>
      <c r="M387" s="46"/>
      <c r="N387" s="46"/>
      <c r="O387" s="35" t="str">
        <f>IF(OR(B387="/",B387="No evidence required at this submission stage"),"Yes",IF(G387="Submitted","Yes","No"))</f>
        <v>No</v>
      </c>
      <c r="U387" s="35"/>
    </row>
    <row r="388" spans="1:21" ht="18" customHeight="1" x14ac:dyDescent="0.25">
      <c r="A388" s="46"/>
      <c r="B388" s="46"/>
      <c r="C388" s="46"/>
      <c r="D388" s="46"/>
      <c r="E388" s="46"/>
      <c r="F388" s="46"/>
      <c r="G388" s="46"/>
      <c r="H388" s="46"/>
      <c r="I388" s="46"/>
      <c r="J388" s="46"/>
      <c r="K388" s="46"/>
      <c r="L388" s="46"/>
      <c r="M388" s="46"/>
      <c r="N388" s="46"/>
      <c r="O388" s="35"/>
      <c r="U388" s="35"/>
    </row>
    <row r="389" spans="1:21" ht="21" customHeight="1" x14ac:dyDescent="0.25">
      <c r="A389" s="46"/>
      <c r="B389" s="1641" t="s">
        <v>931</v>
      </c>
      <c r="C389" s="1642"/>
      <c r="D389" s="1642"/>
      <c r="E389" s="1642"/>
      <c r="F389" s="1642"/>
      <c r="G389" s="626" t="s">
        <v>907</v>
      </c>
      <c r="H389" s="1638" t="s">
        <v>908</v>
      </c>
      <c r="I389" s="1639"/>
      <c r="J389" s="46"/>
      <c r="K389" s="46"/>
      <c r="L389" s="46"/>
      <c r="M389" s="46"/>
      <c r="N389" s="46"/>
      <c r="O389" s="35"/>
      <c r="U389" s="35"/>
    </row>
    <row r="390" spans="1:21" ht="24" customHeight="1" x14ac:dyDescent="0.25">
      <c r="A390" s="46"/>
      <c r="B390" s="1648" t="str">
        <f>Submittals!G17</f>
        <v xml:space="preserve">• Schematic drawings of the HVAC system indicating location of all the demand controls </v>
      </c>
      <c r="C390" s="1649" t="s">
        <v>248</v>
      </c>
      <c r="D390" s="1649"/>
      <c r="E390" s="1649"/>
      <c r="F390" s="1650"/>
      <c r="G390" s="627" t="s">
        <v>53</v>
      </c>
      <c r="H390" s="1689"/>
      <c r="I390" s="1690"/>
      <c r="J390" s="46"/>
      <c r="K390" s="46"/>
      <c r="L390" s="46"/>
      <c r="M390" s="46"/>
      <c r="N390" s="46"/>
      <c r="O390" s="35" t="str">
        <f>IF(OR(B390="/",B390="No evidence required at this submission stage"),"Yes",IF(G390="Submitted","Yes","No"))</f>
        <v>No</v>
      </c>
      <c r="U390" s="35"/>
    </row>
    <row r="391" spans="1:21" ht="30" customHeight="1" x14ac:dyDescent="0.25">
      <c r="A391" s="46"/>
      <c r="B391" s="1648" t="str">
        <f>Submittals!G18</f>
        <v>• Evidence showing that the controls have been installed and work effectively such as photographs, commissioning records, etc.</v>
      </c>
      <c r="C391" s="1649" t="s">
        <v>248</v>
      </c>
      <c r="D391" s="1649"/>
      <c r="E391" s="1649"/>
      <c r="F391" s="1650"/>
      <c r="G391" s="627" t="s">
        <v>53</v>
      </c>
      <c r="H391" s="1689"/>
      <c r="I391" s="1690"/>
      <c r="J391" s="46"/>
      <c r="K391" s="46"/>
      <c r="L391" s="46"/>
      <c r="M391" s="46"/>
      <c r="N391" s="46"/>
      <c r="O391" s="35" t="str">
        <f>IF(OR(B391="/",B391="No evidence required at this submission stage"),"Yes",IF(G391="Submitted","Yes","No"))</f>
        <v>No</v>
      </c>
      <c r="U391" s="35"/>
    </row>
    <row r="392" spans="1:21" ht="16.5" customHeight="1" x14ac:dyDescent="0.25">
      <c r="A392" s="46"/>
      <c r="B392" s="46"/>
      <c r="C392" s="46"/>
      <c r="D392" s="46"/>
      <c r="E392" s="46"/>
      <c r="F392" s="46"/>
      <c r="G392" s="46"/>
      <c r="H392" s="46"/>
      <c r="I392" s="46"/>
      <c r="J392" s="46"/>
      <c r="K392" s="46"/>
      <c r="L392" s="46"/>
      <c r="M392" s="46"/>
      <c r="N392" s="46"/>
      <c r="Q392" s="35"/>
      <c r="R392" s="35"/>
      <c r="S392" s="35"/>
      <c r="U392" s="35"/>
    </row>
    <row r="393" spans="1:21" ht="16.5" customHeight="1" x14ac:dyDescent="0.25">
      <c r="A393" s="1688" t="s">
        <v>5</v>
      </c>
      <c r="B393" s="1688"/>
      <c r="C393" s="1688"/>
      <c r="D393" s="46"/>
      <c r="E393" s="46"/>
      <c r="F393" s="46"/>
      <c r="G393" s="46"/>
      <c r="H393" s="46"/>
      <c r="I393" s="46"/>
      <c r="J393" s="46"/>
      <c r="K393" s="46"/>
      <c r="L393" s="46"/>
      <c r="M393" s="46"/>
      <c r="N393" s="46"/>
      <c r="U393" s="35"/>
    </row>
    <row r="394" spans="1:21" ht="18" customHeight="1" x14ac:dyDescent="0.25">
      <c r="A394" s="46"/>
      <c r="B394" s="46"/>
      <c r="C394" s="46"/>
      <c r="D394" s="46"/>
      <c r="E394" s="46"/>
      <c r="F394" s="46"/>
      <c r="G394" s="46"/>
      <c r="H394" s="46"/>
      <c r="I394" s="46"/>
      <c r="J394" s="46"/>
      <c r="K394" s="46"/>
      <c r="L394" s="46"/>
      <c r="M394" s="46"/>
      <c r="N394" s="46"/>
    </row>
    <row r="395" spans="1:21" ht="18" customHeight="1" x14ac:dyDescent="0.25">
      <c r="A395" s="46"/>
      <c r="B395" s="120" t="s">
        <v>16</v>
      </c>
      <c r="C395" s="8">
        <f>IF(E353="Yes",1,0)+IF(E380="Yes",1,0)</f>
        <v>0</v>
      </c>
      <c r="D395" s="46"/>
      <c r="E395" s="46"/>
      <c r="F395" s="46"/>
      <c r="G395" s="46"/>
      <c r="H395" s="46"/>
      <c r="I395" s="46"/>
      <c r="J395" s="46"/>
      <c r="K395" s="46"/>
      <c r="L395" s="46"/>
      <c r="M395" s="46"/>
      <c r="N395" s="46"/>
    </row>
    <row r="396" spans="1:21" ht="19.5" customHeight="1" x14ac:dyDescent="0.25">
      <c r="A396" s="46"/>
      <c r="B396" s="120" t="s">
        <v>133</v>
      </c>
      <c r="C396" s="8" t="str">
        <f>IF(E353="Yes",IF(E380="Yes",IF(AND(COUNTIF(O385:O387,"Yes")=3,COUNTIF(O390:O391,"Yes")=2),"Yes","No"),IF(COUNTIF(O385:O387,"Yes")=2,"Yes",IF(E380="Yes",IF(COUNTIF(O390:O391,"Yes")=2,"Yes","No"),"No"))),"No")</f>
        <v>No</v>
      </c>
      <c r="D396" s="46"/>
      <c r="E396" s="46"/>
      <c r="F396" s="46"/>
      <c r="G396" s="46"/>
      <c r="H396" s="46"/>
      <c r="I396" s="46"/>
      <c r="J396" s="46"/>
      <c r="K396" s="46"/>
      <c r="L396" s="46"/>
      <c r="M396" s="46"/>
      <c r="N396" s="46"/>
    </row>
    <row r="397" spans="1:21" ht="18" customHeight="1" x14ac:dyDescent="0.25">
      <c r="A397" s="46"/>
      <c r="B397" s="46"/>
      <c r="C397" s="46"/>
      <c r="D397" s="46"/>
      <c r="E397" s="46"/>
      <c r="F397" s="46"/>
      <c r="G397" s="46"/>
      <c r="H397" s="46"/>
      <c r="I397" s="46"/>
      <c r="J397" s="46"/>
      <c r="K397" s="46"/>
      <c r="L397" s="46"/>
      <c r="M397" s="46"/>
      <c r="N397" s="46"/>
    </row>
    <row r="398" spans="1:21" ht="18" customHeight="1" x14ac:dyDescent="0.25">
      <c r="A398" s="1667" t="s">
        <v>507</v>
      </c>
      <c r="B398" s="1667"/>
      <c r="C398" s="1667"/>
      <c r="D398" s="1667"/>
      <c r="E398" s="1667"/>
      <c r="F398" s="1667"/>
      <c r="G398" s="1667"/>
      <c r="H398" s="1667"/>
      <c r="I398" s="1667"/>
      <c r="J398" s="1667"/>
      <c r="K398" s="1667"/>
      <c r="L398" s="1667"/>
      <c r="M398" s="1667"/>
      <c r="N398" s="1667"/>
    </row>
    <row r="399" spans="1:21" ht="16.5" customHeight="1" x14ac:dyDescent="0.25">
      <c r="A399" s="45"/>
      <c r="B399" s="45"/>
      <c r="C399" s="45"/>
      <c r="D399" s="45"/>
      <c r="E399" s="45"/>
      <c r="F399" s="45"/>
      <c r="G399" s="45"/>
      <c r="H399" s="45"/>
      <c r="I399" s="45"/>
      <c r="J399" s="45"/>
      <c r="K399" s="45"/>
      <c r="L399" s="45"/>
      <c r="M399" s="45"/>
      <c r="N399" s="45"/>
    </row>
    <row r="400" spans="1:21" ht="16.5" customHeight="1" x14ac:dyDescent="0.25">
      <c r="A400" s="1688" t="s">
        <v>102</v>
      </c>
      <c r="B400" s="1688"/>
      <c r="C400" s="1688"/>
      <c r="D400" s="46"/>
      <c r="E400" s="46"/>
      <c r="F400" s="46"/>
      <c r="G400" s="46"/>
      <c r="H400" s="46"/>
      <c r="I400" s="46"/>
      <c r="J400" s="46"/>
      <c r="K400" s="46"/>
      <c r="L400" s="46"/>
      <c r="M400" s="46"/>
      <c r="N400" s="46"/>
    </row>
    <row r="401" spans="1:14" ht="18" customHeight="1" x14ac:dyDescent="0.25">
      <c r="A401" s="46"/>
      <c r="B401" s="46"/>
      <c r="C401" s="46"/>
      <c r="D401" s="46"/>
      <c r="E401" s="46"/>
      <c r="F401" s="46"/>
      <c r="G401" s="46"/>
      <c r="H401" s="46"/>
      <c r="I401" s="46"/>
      <c r="J401" s="46"/>
      <c r="K401" s="46"/>
      <c r="L401" s="46"/>
      <c r="M401" s="46"/>
      <c r="N401" s="46"/>
    </row>
    <row r="402" spans="1:14" ht="18" customHeight="1" x14ac:dyDescent="0.25">
      <c r="A402" s="46"/>
      <c r="B402" s="596" t="s">
        <v>1440</v>
      </c>
      <c r="C402" s="45"/>
      <c r="D402" s="46"/>
      <c r="E402" s="46"/>
      <c r="F402" s="46"/>
      <c r="G402" s="46"/>
      <c r="H402" s="46"/>
      <c r="I402" s="46"/>
      <c r="J402" s="46"/>
      <c r="K402" s="46"/>
      <c r="L402" s="46"/>
      <c r="M402" s="46"/>
      <c r="N402" s="46"/>
    </row>
    <row r="403" spans="1:14" x14ac:dyDescent="0.25">
      <c r="A403" s="46"/>
      <c r="B403" s="284"/>
      <c r="C403" s="45"/>
      <c r="D403" s="46"/>
      <c r="E403" s="46"/>
      <c r="F403" s="46"/>
      <c r="G403" s="46"/>
      <c r="H403" s="46"/>
      <c r="I403" s="46"/>
      <c r="J403" s="46"/>
      <c r="K403" s="46"/>
      <c r="L403" s="46"/>
      <c r="M403" s="46"/>
      <c r="N403" s="46"/>
    </row>
    <row r="404" spans="1:14" ht="42" customHeight="1" x14ac:dyDescent="0.25">
      <c r="A404" s="46"/>
      <c r="B404" s="1700" t="s">
        <v>1441</v>
      </c>
      <c r="C404" s="1701"/>
      <c r="D404" s="1701"/>
      <c r="E404" s="1701"/>
      <c r="F404" s="1701"/>
      <c r="G404" s="1701"/>
      <c r="H404" s="1701"/>
      <c r="I404" s="1701"/>
      <c r="J404" s="1701"/>
      <c r="K404" s="1702"/>
      <c r="L404" s="46"/>
      <c r="M404" s="46"/>
      <c r="N404" s="46"/>
    </row>
    <row r="405" spans="1:14" ht="18" customHeight="1" x14ac:dyDescent="0.25">
      <c r="A405" s="46"/>
      <c r="B405" s="284"/>
      <c r="C405" s="45"/>
      <c r="D405" s="46"/>
      <c r="E405" s="46"/>
      <c r="F405" s="46"/>
      <c r="G405" s="46"/>
      <c r="H405" s="46"/>
      <c r="I405" s="46"/>
      <c r="J405" s="46"/>
      <c r="K405" s="46"/>
      <c r="L405" s="46"/>
      <c r="M405" s="46"/>
      <c r="N405" s="46"/>
    </row>
    <row r="406" spans="1:14" ht="17.25" customHeight="1" x14ac:dyDescent="0.25">
      <c r="A406" s="46"/>
      <c r="B406" s="535" t="s">
        <v>1220</v>
      </c>
      <c r="C406" s="46"/>
      <c r="D406" s="46"/>
      <c r="E406" s="46"/>
      <c r="F406" s="46"/>
      <c r="G406" s="46"/>
      <c r="H406" s="46"/>
      <c r="I406" s="46"/>
      <c r="J406" s="46"/>
      <c r="K406" s="46"/>
      <c r="L406" s="46"/>
      <c r="M406" s="46"/>
      <c r="N406" s="46"/>
    </row>
    <row r="407" spans="1:14" ht="18" customHeight="1" x14ac:dyDescent="0.25">
      <c r="A407" s="46"/>
      <c r="B407" s="117"/>
      <c r="C407" s="46"/>
      <c r="D407" s="46"/>
      <c r="E407" s="46"/>
      <c r="F407" s="46"/>
      <c r="G407" s="46"/>
      <c r="H407" s="46"/>
      <c r="I407" s="46"/>
      <c r="J407" s="46"/>
      <c r="K407" s="46"/>
      <c r="L407" s="46"/>
      <c r="M407" s="46"/>
      <c r="N407" s="46"/>
    </row>
    <row r="408" spans="1:14" ht="18" customHeight="1" x14ac:dyDescent="0.25">
      <c r="A408" s="46"/>
      <c r="B408" s="1726" t="s">
        <v>1569</v>
      </c>
      <c r="C408" s="1726"/>
      <c r="D408" s="1726"/>
      <c r="E408" s="1726"/>
      <c r="F408" s="1726"/>
      <c r="G408" s="717" t="s">
        <v>53</v>
      </c>
      <c r="H408" s="46"/>
      <c r="I408" s="46"/>
      <c r="J408" s="46"/>
      <c r="K408" s="46"/>
      <c r="L408" s="46"/>
      <c r="M408" s="46"/>
      <c r="N408" s="46"/>
    </row>
    <row r="409" spans="1:14" ht="18" customHeight="1" x14ac:dyDescent="0.25">
      <c r="A409" s="46"/>
      <c r="B409" s="284"/>
      <c r="C409" s="45"/>
      <c r="D409" s="46"/>
      <c r="E409" s="46"/>
      <c r="F409" s="46"/>
      <c r="G409" s="46"/>
      <c r="H409" s="46"/>
      <c r="I409" s="46"/>
      <c r="J409" s="46"/>
      <c r="K409" s="46"/>
      <c r="L409" s="46"/>
      <c r="M409" s="46"/>
      <c r="N409" s="46"/>
    </row>
    <row r="410" spans="1:14" ht="18" customHeight="1" x14ac:dyDescent="0.25">
      <c r="A410" s="46"/>
      <c r="B410" s="1666" t="s">
        <v>1443</v>
      </c>
      <c r="C410" s="1666"/>
      <c r="D410" s="1666"/>
      <c r="E410" s="127" t="str">
        <f>IF(G408="Yes","Yes","No")</f>
        <v>No</v>
      </c>
      <c r="F410" s="46"/>
      <c r="G410" s="46"/>
      <c r="H410" s="46"/>
      <c r="I410" s="46"/>
      <c r="J410" s="46"/>
      <c r="K410" s="46"/>
      <c r="L410" s="46"/>
      <c r="M410" s="46"/>
      <c r="N410" s="46"/>
    </row>
    <row r="411" spans="1:14" ht="21" customHeight="1" x14ac:dyDescent="0.25">
      <c r="A411" s="278"/>
      <c r="B411" s="747"/>
      <c r="C411" s="278"/>
      <c r="D411" s="278"/>
      <c r="E411" s="278"/>
      <c r="F411" s="278"/>
      <c r="G411" s="278"/>
      <c r="H411" s="278"/>
      <c r="I411" s="278"/>
      <c r="J411" s="278"/>
      <c r="K411" s="278"/>
      <c r="L411" s="278"/>
      <c r="M411" s="278"/>
      <c r="N411" s="278"/>
    </row>
    <row r="412" spans="1:14" x14ac:dyDescent="0.25">
      <c r="A412" s="46"/>
      <c r="B412" s="284"/>
      <c r="C412" s="45"/>
      <c r="D412" s="46"/>
      <c r="E412" s="46"/>
      <c r="F412" s="46"/>
      <c r="G412" s="46"/>
      <c r="H412" s="46"/>
      <c r="I412" s="46"/>
      <c r="J412" s="46"/>
      <c r="K412" s="46"/>
      <c r="L412" s="46"/>
      <c r="M412" s="46"/>
      <c r="N412" s="46"/>
    </row>
    <row r="413" spans="1:14" x14ac:dyDescent="0.25">
      <c r="A413" s="46"/>
      <c r="B413" s="596" t="s">
        <v>1222</v>
      </c>
      <c r="C413" s="46"/>
      <c r="D413" s="46"/>
      <c r="E413" s="46"/>
      <c r="F413" s="46"/>
      <c r="G413" s="46"/>
      <c r="H413" s="46"/>
      <c r="I413" s="46"/>
      <c r="J413" s="46"/>
      <c r="K413" s="46"/>
      <c r="L413" s="46"/>
      <c r="M413" s="46"/>
      <c r="N413" s="46"/>
    </row>
    <row r="414" spans="1:14" x14ac:dyDescent="0.25">
      <c r="A414" s="46"/>
      <c r="B414" s="724"/>
      <c r="C414" s="46"/>
      <c r="D414" s="46"/>
      <c r="E414" s="46"/>
      <c r="F414" s="46"/>
      <c r="G414" s="46"/>
      <c r="H414" s="46"/>
      <c r="I414" s="46"/>
      <c r="J414" s="46"/>
      <c r="K414" s="46"/>
      <c r="L414" s="46"/>
      <c r="M414" s="46"/>
      <c r="N414" s="46"/>
    </row>
    <row r="415" spans="1:14" x14ac:dyDescent="0.25">
      <c r="A415" s="46"/>
      <c r="B415" s="1716" t="s">
        <v>1223</v>
      </c>
      <c r="C415" s="1717"/>
      <c r="D415" s="1717"/>
      <c r="E415" s="1717"/>
      <c r="F415" s="1717"/>
      <c r="G415" s="1717"/>
      <c r="H415" s="1718"/>
      <c r="I415" s="46"/>
      <c r="J415" s="46"/>
      <c r="K415" s="46"/>
      <c r="L415" s="46"/>
      <c r="M415" s="46"/>
      <c r="N415" s="46"/>
    </row>
    <row r="416" spans="1:14" x14ac:dyDescent="0.25">
      <c r="A416" s="46"/>
      <c r="B416" s="1719" t="s">
        <v>1224</v>
      </c>
      <c r="C416" s="1720"/>
      <c r="D416" s="1720"/>
      <c r="E416" s="1720"/>
      <c r="F416" s="1720"/>
      <c r="G416" s="1720"/>
      <c r="H416" s="1721"/>
      <c r="I416" s="46"/>
      <c r="J416" s="46"/>
      <c r="K416" s="46"/>
      <c r="L416" s="46"/>
      <c r="M416" s="46"/>
      <c r="N416" s="46"/>
    </row>
    <row r="417" spans="1:21" ht="17.25" customHeight="1" x14ac:dyDescent="0.25">
      <c r="A417" s="46"/>
      <c r="B417" s="1722" t="s">
        <v>1225</v>
      </c>
      <c r="C417" s="1723"/>
      <c r="D417" s="1723"/>
      <c r="E417" s="1723"/>
      <c r="F417" s="1723"/>
      <c r="G417" s="1723"/>
      <c r="H417" s="1724"/>
      <c r="I417" s="46"/>
      <c r="J417" s="46"/>
      <c r="K417" s="46"/>
      <c r="L417" s="46"/>
      <c r="M417" s="46"/>
      <c r="N417" s="46"/>
    </row>
    <row r="418" spans="1:21" x14ac:dyDescent="0.25">
      <c r="A418" s="46"/>
      <c r="B418" s="284"/>
      <c r="C418" s="46"/>
      <c r="D418" s="46"/>
      <c r="E418" s="46"/>
      <c r="F418" s="46"/>
      <c r="G418" s="46"/>
      <c r="H418" s="46"/>
      <c r="I418" s="46"/>
      <c r="J418" s="46"/>
      <c r="K418" s="46"/>
      <c r="L418" s="46"/>
      <c r="M418" s="46"/>
      <c r="N418" s="46"/>
    </row>
    <row r="419" spans="1:21" ht="17.25" customHeight="1" x14ac:dyDescent="0.25">
      <c r="A419" s="46"/>
      <c r="B419" s="535" t="s">
        <v>698</v>
      </c>
      <c r="C419" s="46"/>
      <c r="D419" s="46"/>
      <c r="E419" s="46"/>
      <c r="F419" s="46"/>
      <c r="G419" s="46"/>
      <c r="H419" s="46"/>
      <c r="I419" s="46"/>
      <c r="J419" s="46"/>
      <c r="K419" s="46"/>
      <c r="L419" s="46"/>
      <c r="M419" s="46"/>
      <c r="N419" s="46"/>
    </row>
    <row r="420" spans="1:21" ht="14.25" customHeight="1" x14ac:dyDescent="0.25">
      <c r="A420" s="46"/>
      <c r="B420" s="117"/>
      <c r="C420" s="46"/>
      <c r="D420" s="46"/>
      <c r="E420" s="46"/>
      <c r="F420" s="46"/>
      <c r="G420" s="46"/>
      <c r="H420" s="46"/>
      <c r="I420" s="46"/>
      <c r="J420" s="46"/>
      <c r="K420" s="46"/>
      <c r="L420" s="46"/>
      <c r="M420" s="46"/>
      <c r="N420" s="46"/>
    </row>
    <row r="421" spans="1:21" ht="18" customHeight="1" x14ac:dyDescent="0.25">
      <c r="A421" s="46"/>
      <c r="B421" s="1727" t="s">
        <v>1221</v>
      </c>
      <c r="C421" s="1728"/>
      <c r="D421" s="1729"/>
      <c r="E421" s="1634" t="s">
        <v>53</v>
      </c>
      <c r="F421" s="1634"/>
      <c r="G421" s="46"/>
      <c r="H421" s="46"/>
      <c r="I421" s="46"/>
      <c r="J421" s="46"/>
      <c r="K421" s="46"/>
      <c r="L421" s="46"/>
      <c r="M421" s="46"/>
      <c r="N421" s="46"/>
    </row>
    <row r="422" spans="1:21" ht="18" customHeight="1" x14ac:dyDescent="0.25">
      <c r="A422" s="46"/>
      <c r="B422" s="1727" t="s">
        <v>1226</v>
      </c>
      <c r="C422" s="1728"/>
      <c r="D422" s="1729"/>
      <c r="E422" s="1703"/>
      <c r="F422" s="1703"/>
      <c r="G422" s="46"/>
      <c r="H422" s="46"/>
      <c r="I422" s="46"/>
      <c r="J422" s="46"/>
      <c r="K422" s="46"/>
      <c r="L422" s="46"/>
      <c r="M422" s="46"/>
      <c r="N422" s="46"/>
    </row>
    <row r="423" spans="1:21" ht="18" customHeight="1" x14ac:dyDescent="0.25">
      <c r="A423" s="46"/>
      <c r="B423" s="46"/>
      <c r="C423" s="46"/>
      <c r="D423" s="46"/>
      <c r="E423" s="46"/>
      <c r="F423" s="46"/>
      <c r="G423" s="46"/>
      <c r="H423" s="46"/>
      <c r="I423" s="46"/>
      <c r="J423" s="46"/>
      <c r="K423" s="46"/>
      <c r="L423" s="46"/>
      <c r="M423" s="46"/>
      <c r="N423" s="46"/>
    </row>
    <row r="424" spans="1:21" ht="21.75" customHeight="1" x14ac:dyDescent="0.25">
      <c r="A424" s="46"/>
      <c r="B424" s="1715" t="s">
        <v>1227</v>
      </c>
      <c r="C424" s="1715"/>
      <c r="D424" s="1715"/>
      <c r="E424" s="1715"/>
      <c r="F424" s="1715"/>
      <c r="G424" s="1715"/>
      <c r="H424" s="1715"/>
      <c r="I424" s="1715"/>
      <c r="J424" s="1715"/>
      <c r="K424" s="1715"/>
      <c r="L424" s="46"/>
      <c r="M424" s="46"/>
      <c r="N424" s="46"/>
    </row>
    <row r="425" spans="1:21" ht="48.75" customHeight="1" x14ac:dyDescent="0.25">
      <c r="A425" s="46"/>
      <c r="B425" s="1725"/>
      <c r="C425" s="1725"/>
      <c r="D425" s="1725"/>
      <c r="E425" s="1725"/>
      <c r="F425" s="1725"/>
      <c r="G425" s="1725"/>
      <c r="H425" s="1725"/>
      <c r="I425" s="1725"/>
      <c r="J425" s="1725"/>
      <c r="K425" s="1725"/>
      <c r="L425" s="46"/>
      <c r="M425" s="46"/>
      <c r="N425" s="46"/>
    </row>
    <row r="426" spans="1:21" ht="18.75" customHeight="1" x14ac:dyDescent="0.25">
      <c r="A426" s="46"/>
      <c r="B426" s="46"/>
      <c r="C426" s="46"/>
      <c r="D426" s="46"/>
      <c r="E426" s="46"/>
      <c r="F426" s="46"/>
      <c r="G426" s="46"/>
      <c r="H426" s="46"/>
      <c r="I426" s="46"/>
      <c r="J426" s="46"/>
      <c r="K426" s="46"/>
      <c r="L426" s="46"/>
      <c r="M426" s="46"/>
      <c r="N426" s="46"/>
    </row>
    <row r="427" spans="1:21" ht="18" customHeight="1" x14ac:dyDescent="0.25">
      <c r="A427" s="46"/>
      <c r="B427" s="1666" t="s">
        <v>1228</v>
      </c>
      <c r="C427" s="1666"/>
      <c r="D427" s="1666"/>
      <c r="E427" s="127" t="str">
        <f>IF(AND(E421="Yes",E422&lt;&gt;"",B425&lt;&gt;""),"Yes","No")</f>
        <v>No</v>
      </c>
      <c r="F427" s="46"/>
      <c r="G427" s="46"/>
      <c r="H427" s="46"/>
      <c r="I427" s="46"/>
      <c r="J427" s="46"/>
      <c r="K427" s="46"/>
      <c r="L427" s="46"/>
      <c r="M427" s="46"/>
      <c r="N427" s="46"/>
    </row>
    <row r="428" spans="1:21" x14ac:dyDescent="0.25">
      <c r="A428" s="278"/>
      <c r="B428" s="747"/>
      <c r="C428" s="278"/>
      <c r="D428" s="278"/>
      <c r="E428" s="278"/>
      <c r="F428" s="278"/>
      <c r="G428" s="278"/>
      <c r="H428" s="278"/>
      <c r="I428" s="278"/>
      <c r="J428" s="278"/>
      <c r="K428" s="278"/>
      <c r="L428" s="278"/>
      <c r="M428" s="278"/>
      <c r="N428" s="278"/>
    </row>
    <row r="429" spans="1:21" x14ac:dyDescent="0.25">
      <c r="A429" s="46"/>
      <c r="B429" s="284"/>
      <c r="C429" s="46"/>
      <c r="D429" s="46"/>
      <c r="E429" s="46"/>
      <c r="F429" s="46"/>
      <c r="G429" s="46"/>
      <c r="H429" s="46"/>
      <c r="I429" s="46"/>
      <c r="J429" s="46"/>
      <c r="K429" s="46"/>
      <c r="L429" s="46"/>
      <c r="M429" s="46"/>
      <c r="N429" s="46"/>
    </row>
    <row r="430" spans="1:21" ht="17.25" customHeight="1" x14ac:dyDescent="0.25">
      <c r="A430" s="46"/>
      <c r="B430" s="596" t="s">
        <v>1964</v>
      </c>
      <c r="C430" s="46"/>
      <c r="D430" s="46"/>
      <c r="E430" s="46"/>
      <c r="F430" s="46"/>
      <c r="G430" s="46"/>
      <c r="H430" s="46"/>
      <c r="I430" s="46"/>
      <c r="J430" s="46"/>
      <c r="K430" s="46"/>
      <c r="L430" s="46"/>
      <c r="M430" s="46"/>
      <c r="N430" s="46"/>
      <c r="Q430" s="35"/>
      <c r="R430" s="35"/>
      <c r="S430" s="35"/>
      <c r="T430" s="35"/>
      <c r="U430" s="35"/>
    </row>
    <row r="431" spans="1:21" x14ac:dyDescent="0.25">
      <c r="A431" s="46"/>
      <c r="B431" s="46"/>
      <c r="C431" s="46"/>
      <c r="D431" s="46"/>
      <c r="E431" s="46"/>
      <c r="F431" s="46"/>
      <c r="G431" s="46"/>
      <c r="H431" s="46"/>
      <c r="I431" s="46"/>
      <c r="J431" s="46"/>
      <c r="K431" s="46"/>
      <c r="L431" s="46"/>
      <c r="M431" s="46"/>
      <c r="N431" s="46"/>
      <c r="Q431" s="35"/>
      <c r="R431" s="35"/>
      <c r="S431" s="35"/>
      <c r="T431" s="35"/>
      <c r="U431" s="35"/>
    </row>
    <row r="432" spans="1:21" ht="18" customHeight="1" x14ac:dyDescent="0.25">
      <c r="A432" s="46"/>
      <c r="B432" s="535" t="s">
        <v>1517</v>
      </c>
      <c r="C432" s="46"/>
      <c r="D432" s="46"/>
      <c r="E432" s="46"/>
      <c r="F432" s="46"/>
      <c r="G432" s="46"/>
      <c r="H432" s="46"/>
      <c r="I432" s="46"/>
      <c r="J432" s="46"/>
      <c r="K432" s="46"/>
      <c r="L432" s="46"/>
      <c r="M432" s="46"/>
      <c r="N432" s="46"/>
      <c r="Q432" s="35"/>
      <c r="R432" s="35"/>
      <c r="S432" s="35"/>
      <c r="T432" s="35"/>
      <c r="U432" s="35"/>
    </row>
    <row r="433" spans="1:22" x14ac:dyDescent="0.25">
      <c r="A433" s="46"/>
      <c r="B433" s="117"/>
      <c r="C433" s="46"/>
      <c r="D433" s="46"/>
      <c r="E433" s="46"/>
      <c r="F433" s="46"/>
      <c r="G433" s="46"/>
      <c r="H433" s="46"/>
      <c r="I433" s="46"/>
      <c r="J433" s="46"/>
      <c r="K433" s="46"/>
      <c r="L433" s="46"/>
      <c r="M433" s="46"/>
      <c r="N433" s="46"/>
      <c r="R433" s="35"/>
      <c r="S433" s="35"/>
      <c r="T433" s="35"/>
      <c r="U433" s="35"/>
      <c r="V433" s="35"/>
    </row>
    <row r="434" spans="1:22" ht="27.75" customHeight="1" x14ac:dyDescent="0.25">
      <c r="A434" s="46"/>
      <c r="B434" s="719" t="s">
        <v>517</v>
      </c>
      <c r="C434" s="720" t="s">
        <v>459</v>
      </c>
      <c r="D434" s="873" t="s">
        <v>1518</v>
      </c>
      <c r="E434" s="720" t="s">
        <v>1516</v>
      </c>
      <c r="F434" s="873" t="s">
        <v>77</v>
      </c>
      <c r="G434" s="46"/>
      <c r="H434" s="46"/>
      <c r="I434" s="46"/>
      <c r="J434" s="46"/>
      <c r="K434" s="46"/>
      <c r="L434" s="46"/>
      <c r="M434" s="46"/>
      <c r="N434" s="46"/>
      <c r="R434" s="35"/>
      <c r="S434" s="35"/>
      <c r="T434" s="35"/>
      <c r="U434" s="35"/>
      <c r="V434" s="35"/>
    </row>
    <row r="435" spans="1:22" ht="15.75" customHeight="1" x14ac:dyDescent="0.25">
      <c r="A435" s="46"/>
      <c r="B435" s="717"/>
      <c r="C435" s="723"/>
      <c r="D435" s="877" t="s">
        <v>53</v>
      </c>
      <c r="E435" s="1051"/>
      <c r="F435" s="872" t="str">
        <f>IFERROR(IF(D435="Select","",IF(D435="HVLS fans","Yes",IF(C435="","",IF(C435/E435&lt;=20,"Yes","No")))),"")</f>
        <v/>
      </c>
      <c r="G435" s="46"/>
      <c r="H435" s="46"/>
      <c r="I435" s="46"/>
      <c r="J435" s="46"/>
      <c r="K435" s="46"/>
      <c r="L435" s="46"/>
      <c r="M435" s="46"/>
      <c r="N435" s="46"/>
      <c r="R435" s="35"/>
      <c r="S435" s="35"/>
      <c r="T435" s="35"/>
      <c r="U435" s="35"/>
      <c r="V435" s="35"/>
    </row>
    <row r="436" spans="1:22" ht="15.75" customHeight="1" x14ac:dyDescent="0.25">
      <c r="A436" s="46"/>
      <c r="B436" s="717"/>
      <c r="C436" s="723"/>
      <c r="D436" s="877" t="s">
        <v>53</v>
      </c>
      <c r="E436" s="1051">
        <v>2</v>
      </c>
      <c r="F436" s="872"/>
      <c r="G436" s="46"/>
      <c r="H436" s="46"/>
      <c r="I436" s="46"/>
      <c r="J436" s="46"/>
      <c r="K436" s="46"/>
      <c r="L436" s="46"/>
      <c r="M436" s="46"/>
      <c r="N436" s="46"/>
      <c r="R436" s="35"/>
      <c r="S436" s="35"/>
      <c r="T436" s="35"/>
      <c r="U436" s="35"/>
      <c r="V436" s="35"/>
    </row>
    <row r="437" spans="1:22" ht="15.75" customHeight="1" x14ac:dyDescent="0.25">
      <c r="A437" s="46"/>
      <c r="B437" s="717"/>
      <c r="C437" s="723"/>
      <c r="D437" s="877" t="s">
        <v>53</v>
      </c>
      <c r="E437" s="1051"/>
      <c r="F437" s="872" t="str">
        <f t="shared" ref="F437:F449" si="52">IFERROR(IF(D437="HVLS fans","Yes",IF(C437/E437&lt;=20,"Yes","No")),"")</f>
        <v/>
      </c>
      <c r="G437" s="46"/>
      <c r="H437" s="46"/>
      <c r="I437" s="46"/>
      <c r="J437" s="46"/>
      <c r="K437" s="46"/>
      <c r="L437" s="46"/>
      <c r="M437" s="46"/>
      <c r="N437" s="46"/>
      <c r="R437" s="35"/>
      <c r="S437" s="35"/>
      <c r="T437" s="35"/>
      <c r="U437" s="35"/>
      <c r="V437" s="35"/>
    </row>
    <row r="438" spans="1:22" ht="15.75" customHeight="1" x14ac:dyDescent="0.25">
      <c r="A438" s="46"/>
      <c r="B438" s="717"/>
      <c r="C438" s="723"/>
      <c r="D438" s="877" t="s">
        <v>53</v>
      </c>
      <c r="E438" s="1051"/>
      <c r="F438" s="872" t="str">
        <f t="shared" si="52"/>
        <v/>
      </c>
      <c r="G438" s="46"/>
      <c r="H438" s="46"/>
      <c r="I438" s="46"/>
      <c r="J438" s="46"/>
      <c r="K438" s="46"/>
      <c r="L438" s="46"/>
      <c r="M438" s="46"/>
      <c r="N438" s="46"/>
      <c r="R438" s="35"/>
      <c r="S438" s="35"/>
      <c r="T438" s="35"/>
      <c r="U438" s="35"/>
      <c r="V438" s="35"/>
    </row>
    <row r="439" spans="1:22" ht="15.75" customHeight="1" x14ac:dyDescent="0.25">
      <c r="A439" s="46"/>
      <c r="B439" s="717"/>
      <c r="C439" s="723"/>
      <c r="D439" s="877" t="s">
        <v>53</v>
      </c>
      <c r="E439" s="1051"/>
      <c r="F439" s="872" t="str">
        <f t="shared" si="52"/>
        <v/>
      </c>
      <c r="G439" s="46"/>
      <c r="H439" s="46"/>
      <c r="I439" s="46"/>
      <c r="J439" s="46"/>
      <c r="K439" s="46"/>
      <c r="L439" s="46"/>
      <c r="M439" s="46"/>
      <c r="N439" s="46"/>
      <c r="R439" s="35"/>
      <c r="S439" s="35"/>
      <c r="T439" s="35"/>
      <c r="U439" s="35"/>
      <c r="V439" s="35"/>
    </row>
    <row r="440" spans="1:22" ht="15.75" customHeight="1" x14ac:dyDescent="0.25">
      <c r="A440" s="46"/>
      <c r="B440" s="717"/>
      <c r="C440" s="723"/>
      <c r="D440" s="877" t="s">
        <v>53</v>
      </c>
      <c r="E440" s="1051"/>
      <c r="F440" s="872" t="str">
        <f t="shared" si="52"/>
        <v/>
      </c>
      <c r="G440" s="46"/>
      <c r="H440" s="46"/>
      <c r="I440" s="46"/>
      <c r="J440" s="46"/>
      <c r="K440" s="46"/>
      <c r="L440" s="46"/>
      <c r="M440" s="46"/>
      <c r="N440" s="46"/>
      <c r="R440" s="35"/>
      <c r="S440" s="35"/>
      <c r="T440" s="35"/>
      <c r="U440" s="35"/>
      <c r="V440" s="35"/>
    </row>
    <row r="441" spans="1:22" ht="15.75" customHeight="1" x14ac:dyDescent="0.25">
      <c r="A441" s="46"/>
      <c r="B441" s="717"/>
      <c r="C441" s="723"/>
      <c r="D441" s="877" t="s">
        <v>53</v>
      </c>
      <c r="E441" s="1051"/>
      <c r="F441" s="872" t="str">
        <f t="shared" si="52"/>
        <v/>
      </c>
      <c r="G441" s="46"/>
      <c r="H441" s="46"/>
      <c r="I441" s="46"/>
      <c r="J441" s="46"/>
      <c r="K441" s="46"/>
      <c r="L441" s="46"/>
      <c r="M441" s="46"/>
      <c r="N441" s="46"/>
      <c r="R441" s="35"/>
      <c r="S441" s="35"/>
      <c r="T441" s="35"/>
      <c r="U441" s="35"/>
      <c r="V441" s="35"/>
    </row>
    <row r="442" spans="1:22" ht="15.75" customHeight="1" x14ac:dyDescent="0.25">
      <c r="A442" s="46"/>
      <c r="B442" s="717"/>
      <c r="C442" s="723"/>
      <c r="D442" s="877" t="s">
        <v>53</v>
      </c>
      <c r="E442" s="1051"/>
      <c r="F442" s="872" t="str">
        <f t="shared" si="52"/>
        <v/>
      </c>
      <c r="G442" s="46"/>
      <c r="H442" s="46"/>
      <c r="I442" s="46"/>
      <c r="J442" s="46"/>
      <c r="K442" s="46"/>
      <c r="L442" s="46"/>
      <c r="M442" s="46"/>
      <c r="N442" s="46"/>
      <c r="R442" s="35"/>
      <c r="S442" s="35"/>
      <c r="T442" s="35"/>
      <c r="U442" s="35"/>
      <c r="V442" s="35"/>
    </row>
    <row r="443" spans="1:22" ht="15.75" customHeight="1" x14ac:dyDescent="0.25">
      <c r="A443" s="46"/>
      <c r="B443" s="717"/>
      <c r="C443" s="723"/>
      <c r="D443" s="877" t="s">
        <v>53</v>
      </c>
      <c r="E443" s="1051"/>
      <c r="F443" s="872" t="str">
        <f t="shared" si="52"/>
        <v/>
      </c>
      <c r="G443" s="46"/>
      <c r="H443" s="46"/>
      <c r="I443" s="46"/>
      <c r="J443" s="46"/>
      <c r="K443" s="46"/>
      <c r="L443" s="46"/>
      <c r="M443" s="46"/>
      <c r="N443" s="46"/>
      <c r="R443" s="35"/>
      <c r="S443" s="35"/>
      <c r="T443" s="35"/>
      <c r="U443" s="35"/>
      <c r="V443" s="35"/>
    </row>
    <row r="444" spans="1:22" ht="15.75" customHeight="1" x14ac:dyDescent="0.25">
      <c r="A444" s="46"/>
      <c r="B444" s="717"/>
      <c r="C444" s="723"/>
      <c r="D444" s="877" t="s">
        <v>53</v>
      </c>
      <c r="E444" s="1051"/>
      <c r="F444" s="872" t="str">
        <f t="shared" si="52"/>
        <v/>
      </c>
      <c r="G444" s="46"/>
      <c r="H444" s="46"/>
      <c r="I444" s="46"/>
      <c r="J444" s="46"/>
      <c r="K444" s="46"/>
      <c r="L444" s="46"/>
      <c r="M444" s="46"/>
      <c r="N444" s="46"/>
      <c r="R444" s="35"/>
      <c r="S444" s="35"/>
      <c r="T444" s="35"/>
      <c r="U444" s="35"/>
      <c r="V444" s="35"/>
    </row>
    <row r="445" spans="1:22" ht="15.75" customHeight="1" x14ac:dyDescent="0.25">
      <c r="A445" s="46"/>
      <c r="B445" s="717"/>
      <c r="C445" s="723"/>
      <c r="D445" s="877" t="s">
        <v>53</v>
      </c>
      <c r="E445" s="1051"/>
      <c r="F445" s="872" t="str">
        <f t="shared" si="52"/>
        <v/>
      </c>
      <c r="G445" s="46"/>
      <c r="H445" s="46"/>
      <c r="I445" s="46"/>
      <c r="J445" s="46"/>
      <c r="K445" s="46"/>
      <c r="L445" s="46"/>
      <c r="M445" s="46"/>
      <c r="N445" s="46"/>
      <c r="R445" s="35"/>
      <c r="S445" s="35"/>
      <c r="T445" s="35"/>
      <c r="U445" s="35"/>
      <c r="V445" s="35"/>
    </row>
    <row r="446" spans="1:22" ht="15.75" customHeight="1" x14ac:dyDescent="0.25">
      <c r="A446" s="46"/>
      <c r="B446" s="717"/>
      <c r="C446" s="723"/>
      <c r="D446" s="877" t="s">
        <v>53</v>
      </c>
      <c r="E446" s="1051"/>
      <c r="F446" s="872" t="str">
        <f t="shared" si="52"/>
        <v/>
      </c>
      <c r="G446" s="46"/>
      <c r="H446" s="46"/>
      <c r="I446" s="46"/>
      <c r="J446" s="46"/>
      <c r="K446" s="46"/>
      <c r="L446" s="46"/>
      <c r="M446" s="46"/>
      <c r="N446" s="46"/>
      <c r="R446" s="35"/>
      <c r="S446" s="35"/>
      <c r="T446" s="35"/>
      <c r="U446" s="35"/>
      <c r="V446" s="35"/>
    </row>
    <row r="447" spans="1:22" ht="15.75" customHeight="1" x14ac:dyDescent="0.25">
      <c r="A447" s="46"/>
      <c r="B447" s="717"/>
      <c r="C447" s="723"/>
      <c r="D447" s="877" t="s">
        <v>53</v>
      </c>
      <c r="E447" s="1051"/>
      <c r="F447" s="872" t="str">
        <f t="shared" si="52"/>
        <v/>
      </c>
      <c r="G447" s="46"/>
      <c r="H447" s="46"/>
      <c r="I447" s="46"/>
      <c r="J447" s="46"/>
      <c r="K447" s="46"/>
      <c r="L447" s="46"/>
      <c r="M447" s="46"/>
      <c r="N447" s="46"/>
      <c r="R447" s="35"/>
      <c r="S447" s="35"/>
      <c r="T447" s="35"/>
      <c r="U447" s="35"/>
      <c r="V447" s="35"/>
    </row>
    <row r="448" spans="1:22" ht="15.75" customHeight="1" x14ac:dyDescent="0.25">
      <c r="A448" s="46"/>
      <c r="B448" s="717"/>
      <c r="C448" s="723"/>
      <c r="D448" s="877" t="s">
        <v>53</v>
      </c>
      <c r="E448" s="1051"/>
      <c r="F448" s="872" t="str">
        <f t="shared" si="52"/>
        <v/>
      </c>
      <c r="G448" s="46"/>
      <c r="H448" s="46"/>
      <c r="I448" s="46"/>
      <c r="J448" s="46"/>
      <c r="K448" s="46"/>
      <c r="L448" s="46"/>
      <c r="M448" s="46"/>
      <c r="N448" s="46"/>
      <c r="R448" s="35"/>
      <c r="S448" s="35"/>
      <c r="T448" s="35"/>
      <c r="U448" s="35"/>
      <c r="V448" s="35"/>
    </row>
    <row r="449" spans="1:21" x14ac:dyDescent="0.25">
      <c r="A449" s="46"/>
      <c r="B449" s="717"/>
      <c r="C449" s="723"/>
      <c r="D449" s="877" t="s">
        <v>53</v>
      </c>
      <c r="E449" s="1051"/>
      <c r="F449" s="872" t="str">
        <f t="shared" si="52"/>
        <v/>
      </c>
      <c r="G449" s="46"/>
      <c r="H449" s="46"/>
      <c r="I449" s="46"/>
      <c r="J449" s="46"/>
      <c r="K449" s="46"/>
      <c r="L449" s="46"/>
      <c r="M449" s="46"/>
      <c r="N449" s="46"/>
      <c r="Q449" s="35"/>
      <c r="R449" s="35"/>
      <c r="S449" s="35"/>
      <c r="T449" s="35"/>
      <c r="U449" s="35"/>
    </row>
    <row r="450" spans="1:21" ht="18" customHeight="1" x14ac:dyDescent="0.25">
      <c r="A450" s="46"/>
      <c r="B450" s="46"/>
      <c r="C450" s="46"/>
      <c r="D450" s="46"/>
      <c r="E450" s="46"/>
      <c r="F450" s="46"/>
      <c r="G450" s="46"/>
      <c r="H450" s="46"/>
      <c r="I450" s="46"/>
      <c r="J450" s="46"/>
      <c r="K450" s="46"/>
      <c r="L450" s="46"/>
      <c r="M450" s="46"/>
      <c r="N450" s="46"/>
      <c r="Q450" s="35"/>
      <c r="R450" s="35"/>
      <c r="S450" s="35"/>
      <c r="T450" s="35"/>
      <c r="U450" s="35"/>
    </row>
    <row r="451" spans="1:21" ht="19.5" customHeight="1" x14ac:dyDescent="0.25">
      <c r="A451" s="46"/>
      <c r="B451" s="1666" t="s">
        <v>1229</v>
      </c>
      <c r="C451" s="1666"/>
      <c r="D451" s="1666"/>
      <c r="E451" s="127">
        <f>IFERROR(SUMIF(F435:F449,"Yes",C435:C449)/SUM(C435:C449),0)</f>
        <v>0</v>
      </c>
      <c r="F451" s="46"/>
      <c r="G451" s="46"/>
      <c r="H451" s="46"/>
      <c r="I451" s="46"/>
      <c r="J451" s="46"/>
      <c r="K451" s="46"/>
      <c r="L451" s="46"/>
      <c r="M451" s="46"/>
      <c r="N451" s="46"/>
      <c r="Q451" s="35"/>
      <c r="R451" s="35"/>
      <c r="S451" s="35"/>
      <c r="T451" s="35"/>
      <c r="U451" s="35"/>
    </row>
    <row r="452" spans="1:21" ht="18.75" customHeight="1" x14ac:dyDescent="0.25">
      <c r="A452" s="46"/>
      <c r="B452" s="46"/>
      <c r="C452" s="46"/>
      <c r="D452" s="46"/>
      <c r="E452" s="46"/>
      <c r="F452" s="46"/>
      <c r="G452" s="46"/>
      <c r="H452" s="46"/>
      <c r="I452" s="46"/>
      <c r="J452" s="46"/>
      <c r="K452" s="46"/>
      <c r="L452" s="46"/>
      <c r="M452" s="46"/>
      <c r="N452" s="46"/>
      <c r="Q452" s="35"/>
      <c r="R452" s="35"/>
      <c r="S452" s="35"/>
      <c r="T452" s="35"/>
      <c r="U452" s="35"/>
    </row>
    <row r="453" spans="1:21" ht="16.5" customHeight="1" x14ac:dyDescent="0.25">
      <c r="A453" s="1688" t="s">
        <v>84</v>
      </c>
      <c r="B453" s="1688"/>
      <c r="C453" s="1688"/>
      <c r="D453" s="46"/>
      <c r="E453" s="46"/>
      <c r="F453" s="46"/>
      <c r="G453" s="46"/>
      <c r="H453" s="46"/>
      <c r="I453" s="46"/>
      <c r="J453" s="46"/>
      <c r="K453" s="46"/>
      <c r="L453" s="46"/>
      <c r="M453" s="46"/>
      <c r="N453" s="46"/>
      <c r="Q453" s="35"/>
      <c r="R453" s="35"/>
      <c r="S453" s="35"/>
      <c r="T453" s="35"/>
      <c r="U453" s="35"/>
    </row>
    <row r="454" spans="1:21" x14ac:dyDescent="0.25">
      <c r="A454" s="46"/>
      <c r="B454" s="46"/>
      <c r="C454" s="46"/>
      <c r="D454" s="46"/>
      <c r="E454" s="46"/>
      <c r="F454" s="46"/>
      <c r="G454" s="46"/>
      <c r="H454" s="46"/>
      <c r="I454" s="46"/>
      <c r="J454" s="46"/>
      <c r="K454" s="46"/>
      <c r="L454" s="46"/>
      <c r="M454" s="46"/>
      <c r="N454" s="46"/>
      <c r="Q454" s="35"/>
      <c r="R454" s="35"/>
      <c r="S454" s="35"/>
      <c r="U454" s="35"/>
    </row>
    <row r="455" spans="1:21" ht="21" customHeight="1" x14ac:dyDescent="0.25">
      <c r="A455" s="46"/>
      <c r="B455" s="1641" t="s">
        <v>1238</v>
      </c>
      <c r="C455" s="1642"/>
      <c r="D455" s="1642"/>
      <c r="E455" s="1642"/>
      <c r="F455" s="1642"/>
      <c r="G455" s="603" t="s">
        <v>907</v>
      </c>
      <c r="H455" s="1638" t="s">
        <v>908</v>
      </c>
      <c r="I455" s="1639"/>
      <c r="J455" s="46"/>
      <c r="K455" s="46"/>
      <c r="L455" s="46"/>
      <c r="M455" s="46"/>
      <c r="N455" s="46"/>
      <c r="Q455" s="35"/>
      <c r="R455" s="35"/>
      <c r="S455" s="35"/>
      <c r="U455" s="35"/>
    </row>
    <row r="456" spans="1:21" ht="24" customHeight="1" x14ac:dyDescent="0.25">
      <c r="A456" s="46"/>
      <c r="B456" s="1648" t="str">
        <f>Submittals!G19</f>
        <v>• Schematic drawings of the HVAC system indicating the energy recovery ventilation systems</v>
      </c>
      <c r="C456" s="1649"/>
      <c r="D456" s="1649"/>
      <c r="E456" s="1649"/>
      <c r="F456" s="1650"/>
      <c r="G456" s="352" t="s">
        <v>53</v>
      </c>
      <c r="H456" s="1689"/>
      <c r="I456" s="1690"/>
      <c r="J456" s="46"/>
      <c r="K456" s="46"/>
      <c r="L456" s="46"/>
      <c r="M456" s="46"/>
      <c r="N456" s="46"/>
      <c r="O456" s="35" t="str">
        <f>IF(OR(B456="/",B456="No evidence required at this submission stage"),"Yes",IF(G456="Submitted","Yes","No"))</f>
        <v>No</v>
      </c>
      <c r="U456" s="35"/>
    </row>
    <row r="457" spans="1:21" ht="30" customHeight="1" x14ac:dyDescent="0.25">
      <c r="A457" s="46"/>
      <c r="B457" s="1648" t="str">
        <f>Submittals!G20</f>
        <v>• Evidence showing the energy recovery ventilation systems installed such as photographs, commissioning records, etc.</v>
      </c>
      <c r="C457" s="1649"/>
      <c r="D457" s="1649"/>
      <c r="E457" s="1649"/>
      <c r="F457" s="1650"/>
      <c r="G457" s="352" t="s">
        <v>53</v>
      </c>
      <c r="H457" s="1689"/>
      <c r="I457" s="1690"/>
      <c r="J457" s="46"/>
      <c r="K457" s="46"/>
      <c r="L457" s="46"/>
      <c r="M457" s="46"/>
      <c r="N457" s="46"/>
      <c r="O457" s="35" t="str">
        <f>IF(OR(B457="/",B457="No evidence required at this submission stage"),"Yes",IF(G457="Submitted","Yes","No"))</f>
        <v>No</v>
      </c>
      <c r="P457" t="str">
        <f>IF(E410="Yes",IF(AND(O456="Yes",O457="Yes"),"Yes","No"),"No")</f>
        <v>No</v>
      </c>
      <c r="U457" s="35"/>
    </row>
    <row r="458" spans="1:21" ht="18" customHeight="1" x14ac:dyDescent="0.25">
      <c r="A458" s="46"/>
      <c r="B458" s="46"/>
      <c r="C458" s="46"/>
      <c r="D458" s="46"/>
      <c r="E458" s="46"/>
      <c r="F458" s="46"/>
      <c r="G458" s="46"/>
      <c r="H458" s="46"/>
      <c r="I458" s="46"/>
      <c r="J458" s="46"/>
      <c r="K458" s="46"/>
      <c r="L458" s="46"/>
      <c r="M458" s="46"/>
      <c r="N458" s="46"/>
      <c r="O458" s="35"/>
      <c r="U458" s="35"/>
    </row>
    <row r="459" spans="1:21" ht="21" customHeight="1" x14ac:dyDescent="0.25">
      <c r="A459" s="46"/>
      <c r="B459" s="1641" t="s">
        <v>1230</v>
      </c>
      <c r="C459" s="1642"/>
      <c r="D459" s="1642"/>
      <c r="E459" s="1642"/>
      <c r="F459" s="1642"/>
      <c r="G459" s="716" t="s">
        <v>907</v>
      </c>
      <c r="H459" s="1638" t="s">
        <v>908</v>
      </c>
      <c r="I459" s="1639"/>
      <c r="J459" s="46"/>
      <c r="K459" s="46"/>
      <c r="L459" s="46"/>
      <c r="M459" s="46"/>
      <c r="N459" s="46"/>
      <c r="O459" s="35"/>
      <c r="U459" s="35"/>
    </row>
    <row r="460" spans="1:21" ht="24" customHeight="1" x14ac:dyDescent="0.25">
      <c r="A460" s="46"/>
      <c r="B460" s="1648" t="str">
        <f>Submittals!G21</f>
        <v>• Schematic drawings of the HVAC system indicating the radiant cooling system</v>
      </c>
      <c r="C460" s="1649"/>
      <c r="D460" s="1649"/>
      <c r="E460" s="1649"/>
      <c r="F460" s="1650"/>
      <c r="G460" s="717" t="s">
        <v>53</v>
      </c>
      <c r="H460" s="1689"/>
      <c r="I460" s="1690"/>
      <c r="J460" s="46"/>
      <c r="K460" s="46"/>
      <c r="L460" s="46"/>
      <c r="M460" s="46"/>
      <c r="N460" s="46"/>
      <c r="O460" s="35" t="str">
        <f>IF(OR(B460="/",B460="No evidence required at this submission stage"),"Yes",IF(G460="Submitted","Yes","No"))</f>
        <v>No</v>
      </c>
      <c r="U460" s="35"/>
    </row>
    <row r="461" spans="1:21" ht="30" customHeight="1" x14ac:dyDescent="0.25">
      <c r="A461" s="46"/>
      <c r="B461" s="1648" t="str">
        <f>Submittals!G22</f>
        <v>• Evidence showing the radiant cooling system installed such as photographs, commissioning records, etc.</v>
      </c>
      <c r="C461" s="1649"/>
      <c r="D461" s="1649"/>
      <c r="E461" s="1649"/>
      <c r="F461" s="1650"/>
      <c r="G461" s="717" t="s">
        <v>53</v>
      </c>
      <c r="H461" s="1689"/>
      <c r="I461" s="1690"/>
      <c r="J461" s="46"/>
      <c r="K461" s="46"/>
      <c r="L461" s="46"/>
      <c r="M461" s="46"/>
      <c r="N461" s="46"/>
      <c r="O461" s="35" t="str">
        <f>IF(OR(B461="/",B461="No evidence required at this submission stage"),"Yes",IF(G461="Submitted","Yes","No"))</f>
        <v>No</v>
      </c>
      <c r="P461" t="str">
        <f>IF(E427="Yes",IF(AND(O460="Yes",O461="Yes"),"Yes","No"),"No")</f>
        <v>No</v>
      </c>
      <c r="U461" s="35"/>
    </row>
    <row r="462" spans="1:21" ht="18" customHeight="1" x14ac:dyDescent="0.25">
      <c r="A462" s="46"/>
      <c r="B462" s="46"/>
      <c r="C462" s="46"/>
      <c r="D462" s="46"/>
      <c r="E462" s="46"/>
      <c r="F462" s="46"/>
      <c r="G462" s="46"/>
      <c r="H462" s="46"/>
      <c r="I462" s="46"/>
      <c r="J462" s="46"/>
      <c r="K462" s="46"/>
      <c r="L462" s="46"/>
      <c r="M462" s="46"/>
      <c r="N462" s="46"/>
      <c r="U462" s="35"/>
    </row>
    <row r="463" spans="1:21" ht="21" customHeight="1" x14ac:dyDescent="0.25">
      <c r="A463" s="46"/>
      <c r="B463" s="1641" t="s">
        <v>1965</v>
      </c>
      <c r="C463" s="1642"/>
      <c r="D463" s="1642"/>
      <c r="E463" s="1642"/>
      <c r="F463" s="1642"/>
      <c r="G463" s="716" t="s">
        <v>907</v>
      </c>
      <c r="H463" s="1638" t="s">
        <v>908</v>
      </c>
      <c r="I463" s="1639"/>
      <c r="J463" s="46"/>
      <c r="K463" s="46"/>
      <c r="L463" s="46"/>
      <c r="M463" s="46"/>
      <c r="N463" s="46"/>
      <c r="U463" s="35"/>
    </row>
    <row r="464" spans="1:21" ht="24" customHeight="1" x14ac:dyDescent="0.25">
      <c r="A464" s="46"/>
      <c r="B464" s="1648" t="str">
        <f>Submittals!G23</f>
        <v>• Evidence showing the fans installed such as photographs, plans, etc.</v>
      </c>
      <c r="C464" s="1649"/>
      <c r="D464" s="1649"/>
      <c r="E464" s="1649"/>
      <c r="F464" s="1650"/>
      <c r="G464" s="717" t="s">
        <v>1473</v>
      </c>
      <c r="H464" s="1689"/>
      <c r="I464" s="1690"/>
      <c r="J464" s="46"/>
      <c r="K464" s="46"/>
      <c r="L464" s="46"/>
      <c r="M464" s="46"/>
      <c r="N464" s="46"/>
      <c r="O464" s="35" t="str">
        <f>IF(OR(B464="/",B464="No evidence required at this submission stage"),"Yes",IF(G464="Submitted","Yes","No"))</f>
        <v>Yes</v>
      </c>
      <c r="U464" s="35"/>
    </row>
    <row r="465" spans="1:22" ht="27" hidden="1" customHeight="1" x14ac:dyDescent="0.25">
      <c r="A465" s="46"/>
      <c r="B465" s="1648" t="str">
        <f>Submittals!G24</f>
        <v>/</v>
      </c>
      <c r="C465" s="1649"/>
      <c r="D465" s="1649"/>
      <c r="E465" s="1649"/>
      <c r="F465" s="1650"/>
      <c r="G465" s="717" t="s">
        <v>53</v>
      </c>
      <c r="H465" s="1689"/>
      <c r="I465" s="1690"/>
      <c r="J465" s="46"/>
      <c r="K465" s="46"/>
      <c r="L465" s="46"/>
      <c r="M465" s="46"/>
      <c r="N465" s="46"/>
      <c r="O465" s="35" t="str">
        <f>IF(OR(B465="/",B465="No evidence required at this submission stage"),"Yes",IF(G465="Submitted","Yes","No"))</f>
        <v>Yes</v>
      </c>
      <c r="P465" t="str">
        <f>IF(E451&gt;=0.5,IF(AND(O464="Yes",O465="Yes"),"Yes","No"),"No")</f>
        <v>No</v>
      </c>
      <c r="U465" s="35"/>
    </row>
    <row r="466" spans="1:22" ht="19.5" customHeight="1" x14ac:dyDescent="0.25">
      <c r="A466" s="46"/>
      <c r="B466" s="46"/>
      <c r="C466" s="46"/>
      <c r="D466" s="46"/>
      <c r="E466" s="46"/>
      <c r="F466" s="46"/>
      <c r="G466" s="46"/>
      <c r="H466" s="46"/>
      <c r="I466" s="46"/>
      <c r="J466" s="46"/>
      <c r="K466" s="46"/>
      <c r="L466" s="46"/>
      <c r="M466" s="46"/>
      <c r="N466" s="46"/>
      <c r="Q466" s="35"/>
      <c r="R466" s="35"/>
      <c r="S466" s="35"/>
      <c r="U466" s="35"/>
    </row>
    <row r="467" spans="1:22" ht="16.5" customHeight="1" x14ac:dyDescent="0.25">
      <c r="A467" s="1688" t="s">
        <v>5</v>
      </c>
      <c r="B467" s="1688"/>
      <c r="C467" s="1688"/>
      <c r="D467" s="46"/>
      <c r="E467" s="46"/>
      <c r="F467" s="46"/>
      <c r="G467" s="46"/>
      <c r="H467" s="46"/>
      <c r="I467" s="46"/>
      <c r="J467" s="46"/>
      <c r="K467" s="46"/>
      <c r="L467" s="46"/>
      <c r="M467" s="46"/>
      <c r="N467" s="46"/>
      <c r="U467" s="35"/>
    </row>
    <row r="468" spans="1:22" ht="18" customHeight="1" x14ac:dyDescent="0.25">
      <c r="A468" s="46"/>
      <c r="B468" s="46"/>
      <c r="C468" s="46"/>
      <c r="D468" s="46"/>
      <c r="E468" s="46"/>
      <c r="F468" s="46"/>
      <c r="G468" s="46"/>
      <c r="H468" s="46"/>
      <c r="I468" s="46"/>
      <c r="J468" s="46"/>
      <c r="K468" s="46"/>
      <c r="L468" s="46"/>
      <c r="M468" s="46"/>
      <c r="N468" s="46"/>
    </row>
    <row r="469" spans="1:22" ht="18" customHeight="1" x14ac:dyDescent="0.25">
      <c r="A469" s="46"/>
      <c r="B469" s="102" t="s">
        <v>16</v>
      </c>
      <c r="C469" s="8">
        <f>MIN(2,IF(E410="Yes",1,0)+IF(E427="Yes",1,0)+IF(E451&gt;=0.5,1,0))</f>
        <v>0</v>
      </c>
      <c r="D469" s="46"/>
      <c r="E469" s="46"/>
      <c r="F469" s="46"/>
      <c r="G469" s="46"/>
      <c r="H469" s="46"/>
      <c r="I469" s="46"/>
      <c r="J469" s="46"/>
      <c r="K469" s="46"/>
      <c r="L469" s="46"/>
      <c r="M469" s="46"/>
      <c r="N469" s="46"/>
    </row>
    <row r="470" spans="1:22" ht="18" customHeight="1" x14ac:dyDescent="0.25">
      <c r="A470" s="46"/>
      <c r="B470" s="102" t="s">
        <v>133</v>
      </c>
      <c r="C470" s="8" t="str">
        <f>IF(C469=1,IF(COUNTIF(P457:P465,"Yes")&gt;=1,"Yes","No"),IF(C469=2,IF(COUNTIF(P457:P465,"Yes")&gt;=2,"Yes","No"),"No"))</f>
        <v>No</v>
      </c>
      <c r="D470" s="46"/>
      <c r="E470" s="46"/>
      <c r="F470" s="46"/>
      <c r="G470" s="46"/>
      <c r="H470" s="46"/>
      <c r="I470" s="46"/>
      <c r="J470" s="46"/>
      <c r="K470" s="46"/>
      <c r="L470" s="46"/>
      <c r="M470" s="46"/>
      <c r="N470" s="46"/>
    </row>
    <row r="471" spans="1:22" ht="15" customHeight="1" x14ac:dyDescent="0.25">
      <c r="A471" s="46"/>
      <c r="B471" s="46"/>
      <c r="C471" s="46"/>
      <c r="D471" s="46"/>
      <c r="E471" s="46"/>
      <c r="F471" s="46"/>
      <c r="G471" s="46"/>
      <c r="H471" s="46"/>
      <c r="I471" s="46"/>
      <c r="J471" s="46"/>
      <c r="K471" s="46"/>
      <c r="L471" s="46"/>
      <c r="M471" s="46"/>
      <c r="N471" s="46"/>
    </row>
    <row r="472" spans="1:22" ht="14.25" hidden="1" customHeight="1" x14ac:dyDescent="0.25"/>
    <row r="473" spans="1:22" ht="18" hidden="1" customHeight="1" x14ac:dyDescent="0.25"/>
    <row r="474" spans="1:22" ht="18" hidden="1" customHeight="1" x14ac:dyDescent="0.25"/>
    <row r="475" spans="1:22" ht="21" hidden="1" customHeight="1" x14ac:dyDescent="0.25"/>
    <row r="476" spans="1:22" ht="18" hidden="1" customHeight="1" x14ac:dyDescent="0.25"/>
    <row r="477" spans="1:22" ht="11.25" hidden="1" customHeight="1" x14ac:dyDescent="0.25">
      <c r="V477" s="4"/>
    </row>
    <row r="478" spans="1:22" hidden="1" x14ac:dyDescent="0.25"/>
    <row r="479" spans="1:22" hidden="1" x14ac:dyDescent="0.25"/>
    <row r="480" spans="1:22" ht="15.75" hidden="1" customHeight="1" x14ac:dyDescent="0.25"/>
    <row r="481" ht="19.5" hidden="1" customHeight="1" x14ac:dyDescent="0.25"/>
    <row r="482" hidden="1" x14ac:dyDescent="0.25"/>
    <row r="483" hidden="1" x14ac:dyDescent="0.25"/>
    <row r="484" hidden="1" x14ac:dyDescent="0.25"/>
    <row r="485" hidden="1" x14ac:dyDescent="0.25"/>
    <row r="486" hidden="1" x14ac:dyDescent="0.25"/>
    <row r="487" ht="15" hidden="1" customHeight="1" x14ac:dyDescent="0.25"/>
    <row r="488" ht="15" hidden="1" customHeight="1" x14ac:dyDescent="0.25"/>
    <row r="489" ht="15" hidden="1" customHeight="1" x14ac:dyDescent="0.25"/>
    <row r="490" hidden="1" x14ac:dyDescent="0.25"/>
    <row r="491" hidden="1" x14ac:dyDescent="0.25"/>
    <row r="492" hidden="1" x14ac:dyDescent="0.25"/>
    <row r="493" hidden="1" x14ac:dyDescent="0.25"/>
    <row r="494" hidden="1" x14ac:dyDescent="0.25"/>
    <row r="495" ht="25.5" hidden="1" customHeight="1" x14ac:dyDescent="0.25"/>
    <row r="496" ht="25.5" hidden="1" customHeight="1" x14ac:dyDescent="0.25"/>
    <row r="497" spans="22:22" hidden="1" x14ac:dyDescent="0.25"/>
    <row r="498" spans="22:22" hidden="1" x14ac:dyDescent="0.25"/>
    <row r="499" spans="22:22" hidden="1" x14ac:dyDescent="0.25"/>
    <row r="500" spans="22:22" ht="15" hidden="1" customHeight="1" x14ac:dyDescent="0.25">
      <c r="V500" s="4"/>
    </row>
    <row r="501" spans="22:22" hidden="1" x14ac:dyDescent="0.25"/>
    <row r="502" spans="22:22" ht="28.5" hidden="1" customHeight="1" x14ac:dyDescent="0.25"/>
    <row r="503" spans="22:22" ht="21" hidden="1" customHeight="1" x14ac:dyDescent="0.25"/>
    <row r="504" spans="22:22" ht="21" hidden="1" customHeight="1" x14ac:dyDescent="0.25"/>
    <row r="505" spans="22:22" ht="21" hidden="1" customHeight="1" x14ac:dyDescent="0.25"/>
    <row r="506" spans="22:22" ht="21" hidden="1" customHeight="1" x14ac:dyDescent="0.25"/>
    <row r="507" spans="22:22" ht="21" hidden="1" customHeight="1" x14ac:dyDescent="0.25"/>
    <row r="508" spans="22:22" ht="21" hidden="1" customHeight="1" x14ac:dyDescent="0.25"/>
    <row r="509" spans="22:22" ht="21" hidden="1" customHeight="1" x14ac:dyDescent="0.25"/>
    <row r="510" spans="22:22" ht="21" hidden="1" customHeight="1" x14ac:dyDescent="0.25"/>
    <row r="511" spans="22:22" ht="21" hidden="1" customHeight="1" x14ac:dyDescent="0.25"/>
    <row r="512" spans="22:22" ht="21" hidden="1" customHeight="1" x14ac:dyDescent="0.25"/>
    <row r="513" spans="1:21" hidden="1" x14ac:dyDescent="0.25"/>
    <row r="514" spans="1:21" hidden="1" x14ac:dyDescent="0.25"/>
    <row r="515" spans="1:21" ht="18" hidden="1" customHeight="1" x14ac:dyDescent="0.25"/>
    <row r="516" spans="1:21" ht="18" hidden="1" customHeight="1" x14ac:dyDescent="0.25"/>
    <row r="517" spans="1:21" hidden="1" x14ac:dyDescent="0.25"/>
    <row r="518" spans="1:21" s="35" customFormat="1" ht="15" hidden="1" customHeight="1" x14ac:dyDescent="0.25">
      <c r="A518"/>
      <c r="B518"/>
      <c r="C518"/>
      <c r="D518"/>
      <c r="E518"/>
      <c r="F518"/>
      <c r="G518"/>
      <c r="H518"/>
      <c r="I518"/>
      <c r="J518"/>
      <c r="K518"/>
      <c r="L518"/>
      <c r="M518"/>
      <c r="N518"/>
      <c r="O518"/>
      <c r="P518"/>
      <c r="Q518"/>
      <c r="R518"/>
      <c r="S518"/>
      <c r="T518"/>
      <c r="U518"/>
    </row>
    <row r="519" spans="1:21" s="35" customFormat="1" ht="12.75" hidden="1" customHeight="1" x14ac:dyDescent="0.25">
      <c r="A519"/>
      <c r="B519"/>
      <c r="C519"/>
      <c r="D519"/>
      <c r="E519"/>
      <c r="F519"/>
      <c r="G519"/>
      <c r="H519"/>
      <c r="I519"/>
      <c r="J519"/>
      <c r="K519"/>
      <c r="L519"/>
      <c r="M519"/>
      <c r="N519"/>
      <c r="O519"/>
      <c r="P519"/>
      <c r="Q519"/>
      <c r="R519"/>
      <c r="S519"/>
      <c r="T519"/>
      <c r="U519"/>
    </row>
    <row r="520" spans="1:21" s="35" customFormat="1" ht="15" hidden="1" customHeight="1" x14ac:dyDescent="0.25">
      <c r="A520"/>
      <c r="B520"/>
      <c r="C520"/>
      <c r="D520"/>
      <c r="E520"/>
      <c r="F520"/>
      <c r="G520"/>
      <c r="H520"/>
      <c r="I520"/>
      <c r="J520"/>
      <c r="K520"/>
      <c r="L520"/>
      <c r="M520"/>
      <c r="N520"/>
      <c r="O520"/>
      <c r="P520"/>
      <c r="Q520"/>
      <c r="R520"/>
      <c r="S520"/>
      <c r="T520"/>
      <c r="U520"/>
    </row>
    <row r="521" spans="1:21" s="35" customFormat="1" ht="27" hidden="1" customHeight="1" x14ac:dyDescent="0.25">
      <c r="A521"/>
      <c r="B521"/>
      <c r="C521"/>
      <c r="D521"/>
      <c r="E521"/>
      <c r="F521"/>
      <c r="G521"/>
      <c r="H521"/>
      <c r="I521"/>
      <c r="J521"/>
      <c r="K521"/>
      <c r="L521"/>
      <c r="M521"/>
      <c r="N521"/>
      <c r="O521"/>
      <c r="P521"/>
      <c r="Q521"/>
      <c r="R521"/>
      <c r="S521"/>
      <c r="T521"/>
      <c r="U521"/>
    </row>
    <row r="522" spans="1:21" ht="28.5" hidden="1" customHeight="1" x14ac:dyDescent="0.25"/>
    <row r="523" spans="1:21" ht="14.25" hidden="1" customHeight="1" x14ac:dyDescent="0.25"/>
    <row r="524" spans="1:21" ht="15" hidden="1" customHeight="1" x14ac:dyDescent="0.25"/>
    <row r="525" spans="1:21" ht="14.25" hidden="1" customHeight="1" x14ac:dyDescent="0.25"/>
    <row r="526" spans="1:21" ht="18" hidden="1" customHeight="1" x14ac:dyDescent="0.25"/>
    <row r="527" spans="1:21" ht="18" hidden="1" customHeight="1" x14ac:dyDescent="0.25"/>
    <row r="528" spans="1:21" ht="14.25" hidden="1" customHeight="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sheetData>
  <sheetProtection algorithmName="SHA-512" hashValue="wIQARXBzQ5jVczheBO9+BW7EdVqkWZJr08r3trBQtlJkdUaoOk//08vrW+Fmr9TTMPwK61y0BdlatbwZG7IYvg==" saltValue="emsMWeoGZnfHxBj1VFhF/w==" spinCount="100000" sheet="1" objects="1" scenarios="1" formatRows="0"/>
  <dataConsolidate/>
  <mergeCells count="344">
    <mergeCell ref="A1:N1"/>
    <mergeCell ref="B22:I22"/>
    <mergeCell ref="B138:C138"/>
    <mergeCell ref="A140:N140"/>
    <mergeCell ref="B28:C28"/>
    <mergeCell ref="A30:N30"/>
    <mergeCell ref="A32:C32"/>
    <mergeCell ref="B93:K93"/>
    <mergeCell ref="B14:F14"/>
    <mergeCell ref="B17:F17"/>
    <mergeCell ref="B24:F24"/>
    <mergeCell ref="A67:C67"/>
    <mergeCell ref="H127:I127"/>
    <mergeCell ref="H128:I128"/>
    <mergeCell ref="H129:I129"/>
    <mergeCell ref="A136:N136"/>
    <mergeCell ref="I2:L4"/>
    <mergeCell ref="K104:L104"/>
    <mergeCell ref="B88:K88"/>
    <mergeCell ref="B90:K90"/>
    <mergeCell ref="K103:L103"/>
    <mergeCell ref="B89:K89"/>
    <mergeCell ref="K105:L105"/>
    <mergeCell ref="K117:L117"/>
    <mergeCell ref="A317:C317"/>
    <mergeCell ref="B294:F294"/>
    <mergeCell ref="F342:G342"/>
    <mergeCell ref="A323:C323"/>
    <mergeCell ref="A328:N328"/>
    <mergeCell ref="D345:E345"/>
    <mergeCell ref="F343:G343"/>
    <mergeCell ref="H320:I320"/>
    <mergeCell ref="D342:E342"/>
    <mergeCell ref="B320:F320"/>
    <mergeCell ref="B321:F321"/>
    <mergeCell ref="E312:F312"/>
    <mergeCell ref="E313:F313"/>
    <mergeCell ref="C310:D310"/>
    <mergeCell ref="C311:D311"/>
    <mergeCell ref="C312:D312"/>
    <mergeCell ref="C298:D298"/>
    <mergeCell ref="C299:D299"/>
    <mergeCell ref="E304:F304"/>
    <mergeCell ref="C305:D305"/>
    <mergeCell ref="E305:F305"/>
    <mergeCell ref="C306:D306"/>
    <mergeCell ref="E306:F306"/>
    <mergeCell ref="E309:F309"/>
    <mergeCell ref="C307:D307"/>
    <mergeCell ref="B292:F292"/>
    <mergeCell ref="B293:F293"/>
    <mergeCell ref="C313:D313"/>
    <mergeCell ref="C300:D300"/>
    <mergeCell ref="C301:D301"/>
    <mergeCell ref="A188:F188"/>
    <mergeCell ref="C302:D302"/>
    <mergeCell ref="C303:D303"/>
    <mergeCell ref="E298:F298"/>
    <mergeCell ref="E299:F299"/>
    <mergeCell ref="E300:F300"/>
    <mergeCell ref="E301:F301"/>
    <mergeCell ref="E302:F302"/>
    <mergeCell ref="E303:F303"/>
    <mergeCell ref="B270:F270"/>
    <mergeCell ref="B273:F273"/>
    <mergeCell ref="B272:F272"/>
    <mergeCell ref="E310:F310"/>
    <mergeCell ref="E311:F311"/>
    <mergeCell ref="A282:C282"/>
    <mergeCell ref="E307:F307"/>
    <mergeCell ref="C308:D308"/>
    <mergeCell ref="E308:F308"/>
    <mergeCell ref="C309:D309"/>
    <mergeCell ref="H463:I463"/>
    <mergeCell ref="B460:F460"/>
    <mergeCell ref="B380:D380"/>
    <mergeCell ref="J242:K242"/>
    <mergeCell ref="J243:K243"/>
    <mergeCell ref="J244:K244"/>
    <mergeCell ref="J251:K251"/>
    <mergeCell ref="A280:N280"/>
    <mergeCell ref="E378:F378"/>
    <mergeCell ref="C304:D304"/>
    <mergeCell ref="L244:M244"/>
    <mergeCell ref="J245:K245"/>
    <mergeCell ref="B361:K361"/>
    <mergeCell ref="B359:K359"/>
    <mergeCell ref="B358:K358"/>
    <mergeCell ref="F349:G349"/>
    <mergeCell ref="B341:C341"/>
    <mergeCell ref="B342:C342"/>
    <mergeCell ref="A330:C330"/>
    <mergeCell ref="A275:C275"/>
    <mergeCell ref="F341:G341"/>
    <mergeCell ref="B319:F319"/>
    <mergeCell ref="H319:I319"/>
    <mergeCell ref="H464:I464"/>
    <mergeCell ref="B391:F391"/>
    <mergeCell ref="H391:I391"/>
    <mergeCell ref="H384:I384"/>
    <mergeCell ref="H385:I385"/>
    <mergeCell ref="H387:I387"/>
    <mergeCell ref="H455:I455"/>
    <mergeCell ref="H456:I456"/>
    <mergeCell ref="H457:I457"/>
    <mergeCell ref="B424:K424"/>
    <mergeCell ref="E421:F421"/>
    <mergeCell ref="B451:D451"/>
    <mergeCell ref="B415:H415"/>
    <mergeCell ref="B416:H416"/>
    <mergeCell ref="B417:H417"/>
    <mergeCell ref="B425:K425"/>
    <mergeCell ref="B408:F408"/>
    <mergeCell ref="B421:D421"/>
    <mergeCell ref="B422:D422"/>
    <mergeCell ref="B410:D410"/>
    <mergeCell ref="B404:K404"/>
    <mergeCell ref="B427:D427"/>
    <mergeCell ref="H461:I461"/>
    <mergeCell ref="B463:F463"/>
    <mergeCell ref="B364:K364"/>
    <mergeCell ref="E374:F374"/>
    <mergeCell ref="E375:F375"/>
    <mergeCell ref="E373:F373"/>
    <mergeCell ref="B353:D353"/>
    <mergeCell ref="E376:F376"/>
    <mergeCell ref="F347:G347"/>
    <mergeCell ref="F351:G351"/>
    <mergeCell ref="B344:C344"/>
    <mergeCell ref="D344:E344"/>
    <mergeCell ref="F344:G344"/>
    <mergeCell ref="B345:C345"/>
    <mergeCell ref="D346:E346"/>
    <mergeCell ref="F346:G346"/>
    <mergeCell ref="D347:E347"/>
    <mergeCell ref="B348:C348"/>
    <mergeCell ref="B346:C346"/>
    <mergeCell ref="B347:C347"/>
    <mergeCell ref="E377:F377"/>
    <mergeCell ref="E370:F370"/>
    <mergeCell ref="B315:C315"/>
    <mergeCell ref="D341:E341"/>
    <mergeCell ref="H321:I321"/>
    <mergeCell ref="B349:C349"/>
    <mergeCell ref="B351:C351"/>
    <mergeCell ref="B350:C350"/>
    <mergeCell ref="E368:F368"/>
    <mergeCell ref="E369:F369"/>
    <mergeCell ref="D348:E348"/>
    <mergeCell ref="D349:E349"/>
    <mergeCell ref="D350:E350"/>
    <mergeCell ref="D351:E351"/>
    <mergeCell ref="B343:C343"/>
    <mergeCell ref="D343:E343"/>
    <mergeCell ref="F348:G348"/>
    <mergeCell ref="F350:G350"/>
    <mergeCell ref="F345:G345"/>
    <mergeCell ref="E371:F371"/>
    <mergeCell ref="E372:F372"/>
    <mergeCell ref="B357:K357"/>
    <mergeCell ref="B362:K362"/>
    <mergeCell ref="B360:K360"/>
    <mergeCell ref="A467:C467"/>
    <mergeCell ref="A400:C400"/>
    <mergeCell ref="A453:C453"/>
    <mergeCell ref="A382:C382"/>
    <mergeCell ref="A393:C393"/>
    <mergeCell ref="B385:F385"/>
    <mergeCell ref="B387:F387"/>
    <mergeCell ref="B456:F456"/>
    <mergeCell ref="B457:F457"/>
    <mergeCell ref="B384:F384"/>
    <mergeCell ref="B455:F455"/>
    <mergeCell ref="A398:N398"/>
    <mergeCell ref="B389:F389"/>
    <mergeCell ref="H389:I389"/>
    <mergeCell ref="B390:F390"/>
    <mergeCell ref="H390:I390"/>
    <mergeCell ref="E422:F422"/>
    <mergeCell ref="B465:F465"/>
    <mergeCell ref="H465:I465"/>
    <mergeCell ref="B459:F459"/>
    <mergeCell ref="H459:I459"/>
    <mergeCell ref="H460:I460"/>
    <mergeCell ref="B461:F461"/>
    <mergeCell ref="B464:F464"/>
    <mergeCell ref="B288:J288"/>
    <mergeCell ref="K111:L111"/>
    <mergeCell ref="K112:L112"/>
    <mergeCell ref="K113:L113"/>
    <mergeCell ref="K114:L114"/>
    <mergeCell ref="L252:M252"/>
    <mergeCell ref="J253:K253"/>
    <mergeCell ref="L161:M161"/>
    <mergeCell ref="L162:M162"/>
    <mergeCell ref="H171:I171"/>
    <mergeCell ref="B172:F172"/>
    <mergeCell ref="K121:L121"/>
    <mergeCell ref="B123:D123"/>
    <mergeCell ref="J255:K255"/>
    <mergeCell ref="H270:I270"/>
    <mergeCell ref="H272:I272"/>
    <mergeCell ref="H273:I273"/>
    <mergeCell ref="B271:F271"/>
    <mergeCell ref="L251:M251"/>
    <mergeCell ref="J252:K252"/>
    <mergeCell ref="J224:K224"/>
    <mergeCell ref="L224:M224"/>
    <mergeCell ref="J225:K225"/>
    <mergeCell ref="L225:M225"/>
    <mergeCell ref="B13:F13"/>
    <mergeCell ref="B21:F21"/>
    <mergeCell ref="L255:M255"/>
    <mergeCell ref="L160:M160"/>
    <mergeCell ref="B23:F23"/>
    <mergeCell ref="B16:F16"/>
    <mergeCell ref="B19:F19"/>
    <mergeCell ref="L253:M253"/>
    <mergeCell ref="J254:K254"/>
    <mergeCell ref="L254:M254"/>
    <mergeCell ref="L163:M163"/>
    <mergeCell ref="B170:F170"/>
    <mergeCell ref="H170:I170"/>
    <mergeCell ref="H69:I69"/>
    <mergeCell ref="B171:F171"/>
    <mergeCell ref="K115:L115"/>
    <mergeCell ref="B127:F127"/>
    <mergeCell ref="B128:F128"/>
    <mergeCell ref="G188:M188"/>
    <mergeCell ref="K119:L119"/>
    <mergeCell ref="K120:L120"/>
    <mergeCell ref="A179:N179"/>
    <mergeCell ref="A181:C181"/>
    <mergeCell ref="A142:C142"/>
    <mergeCell ref="B94:K94"/>
    <mergeCell ref="A74:C74"/>
    <mergeCell ref="K106:L106"/>
    <mergeCell ref="K107:L107"/>
    <mergeCell ref="K108:L108"/>
    <mergeCell ref="K109:L109"/>
    <mergeCell ref="K110:L110"/>
    <mergeCell ref="B386:F386"/>
    <mergeCell ref="H386:I386"/>
    <mergeCell ref="H271:I271"/>
    <mergeCell ref="L154:M154"/>
    <mergeCell ref="L155:M155"/>
    <mergeCell ref="L156:M156"/>
    <mergeCell ref="H172:I172"/>
    <mergeCell ref="A174:C174"/>
    <mergeCell ref="L157:M157"/>
    <mergeCell ref="L158:M158"/>
    <mergeCell ref="L159:M159"/>
    <mergeCell ref="B165:C165"/>
    <mergeCell ref="B129:F129"/>
    <mergeCell ref="J240:K240"/>
    <mergeCell ref="K118:L118"/>
    <mergeCell ref="K116:L116"/>
    <mergeCell ref="B95:K95"/>
    <mergeCell ref="H70:I70"/>
    <mergeCell ref="A196:F196"/>
    <mergeCell ref="B71:F71"/>
    <mergeCell ref="H71:I71"/>
    <mergeCell ref="K102:L102"/>
    <mergeCell ref="A5:N7"/>
    <mergeCell ref="B99:D99"/>
    <mergeCell ref="K101:L101"/>
    <mergeCell ref="B65:E65"/>
    <mergeCell ref="B72:F72"/>
    <mergeCell ref="H72:I72"/>
    <mergeCell ref="A9:N9"/>
    <mergeCell ref="A26:N26"/>
    <mergeCell ref="B37:G37"/>
    <mergeCell ref="B38:G38"/>
    <mergeCell ref="B39:G39"/>
    <mergeCell ref="B36:G36"/>
    <mergeCell ref="A79:N79"/>
    <mergeCell ref="B12:I12"/>
    <mergeCell ref="B11:F11"/>
    <mergeCell ref="B15:I15"/>
    <mergeCell ref="B18:I18"/>
    <mergeCell ref="B20:I20"/>
    <mergeCell ref="B91:K91"/>
    <mergeCell ref="B69:F69"/>
    <mergeCell ref="B86:K86"/>
    <mergeCell ref="B87:K87"/>
    <mergeCell ref="J249:K249"/>
    <mergeCell ref="L249:M249"/>
    <mergeCell ref="D165:G165"/>
    <mergeCell ref="B166:C166"/>
    <mergeCell ref="D166:G166"/>
    <mergeCell ref="J246:K246"/>
    <mergeCell ref="L246:M246"/>
    <mergeCell ref="J247:K247"/>
    <mergeCell ref="L247:M247"/>
    <mergeCell ref="J248:K248"/>
    <mergeCell ref="L248:M248"/>
    <mergeCell ref="L245:M245"/>
    <mergeCell ref="J241:K241"/>
    <mergeCell ref="L241:M241"/>
    <mergeCell ref="L242:M242"/>
    <mergeCell ref="L243:M243"/>
    <mergeCell ref="B70:F70"/>
    <mergeCell ref="J219:K219"/>
    <mergeCell ref="L219:M219"/>
    <mergeCell ref="J220:K220"/>
    <mergeCell ref="L220:M220"/>
    <mergeCell ref="J221:K221"/>
    <mergeCell ref="L221:M221"/>
    <mergeCell ref="J222:K222"/>
    <mergeCell ref="L222:M222"/>
    <mergeCell ref="J223:K223"/>
    <mergeCell ref="L223:M223"/>
    <mergeCell ref="J214:K214"/>
    <mergeCell ref="J215:K215"/>
    <mergeCell ref="L215:M215"/>
    <mergeCell ref="J216:K216"/>
    <mergeCell ref="L216:M216"/>
    <mergeCell ref="J217:K217"/>
    <mergeCell ref="L217:M217"/>
    <mergeCell ref="J218:K218"/>
    <mergeCell ref="L218:M218"/>
    <mergeCell ref="J226:K226"/>
    <mergeCell ref="L226:M226"/>
    <mergeCell ref="J227:K227"/>
    <mergeCell ref="L227:M227"/>
    <mergeCell ref="J228:K228"/>
    <mergeCell ref="L228:M228"/>
    <mergeCell ref="J229:K229"/>
    <mergeCell ref="L229:M229"/>
    <mergeCell ref="B265:C265"/>
    <mergeCell ref="F265:G265"/>
    <mergeCell ref="B238:K238"/>
    <mergeCell ref="J250:K250"/>
    <mergeCell ref="L250:M250"/>
    <mergeCell ref="B266:C266"/>
    <mergeCell ref="F266:G266"/>
    <mergeCell ref="B264:C264"/>
    <mergeCell ref="F264:G264"/>
    <mergeCell ref="B232:D232"/>
    <mergeCell ref="B233:D233"/>
    <mergeCell ref="B234:D234"/>
    <mergeCell ref="B258:C258"/>
    <mergeCell ref="B259:C259"/>
    <mergeCell ref="B260:C260"/>
  </mergeCells>
  <conditionalFormatting sqref="H320:I321 G171:G172">
    <cfRule type="expression" dxfId="375" priority="26">
      <formula>$B171="No evidence required at this submission stage"</formula>
    </cfRule>
  </conditionalFormatting>
  <conditionalFormatting sqref="G271:G273">
    <cfRule type="expression" dxfId="374" priority="29">
      <formula>$B271="No evidence required at this submission stage"</formula>
    </cfRule>
  </conditionalFormatting>
  <conditionalFormatting sqref="G320:G321">
    <cfRule type="expression" dxfId="373" priority="28">
      <formula>$B320="No evidence required at this submission stage"</formula>
    </cfRule>
  </conditionalFormatting>
  <conditionalFormatting sqref="G385:I385 G387:I387">
    <cfRule type="expression" dxfId="372" priority="27">
      <formula>$B385="No evidence required at this submission stage"</formula>
    </cfRule>
  </conditionalFormatting>
  <conditionalFormatting sqref="H271:I271 H273:I273">
    <cfRule type="expression" dxfId="371" priority="25">
      <formula>$B271="No evidence required at this submission stage"</formula>
    </cfRule>
  </conditionalFormatting>
  <conditionalFormatting sqref="H272:I272">
    <cfRule type="expression" dxfId="370" priority="23">
      <formula>$B272="No evidence required at this submission stage"</formula>
    </cfRule>
  </conditionalFormatting>
  <conditionalFormatting sqref="G390:I391">
    <cfRule type="expression" dxfId="369" priority="18">
      <formula>$B390="No evidence required at this submission stage"</formula>
    </cfRule>
  </conditionalFormatting>
  <conditionalFormatting sqref="G102:J105 G111:J121">
    <cfRule type="expression" dxfId="368" priority="17">
      <formula>$E$99="Yes"</formula>
    </cfRule>
  </conditionalFormatting>
  <conditionalFormatting sqref="G128:I129">
    <cfRule type="expression" dxfId="367" priority="13">
      <formula>$B128="/"</formula>
    </cfRule>
    <cfRule type="expression" dxfId="366" priority="14">
      <formula>$B128="No evidence required at this submission stage"</formula>
    </cfRule>
  </conditionalFormatting>
  <conditionalFormatting sqref="H171:I171">
    <cfRule type="expression" dxfId="365" priority="7">
      <formula>$B171="No evidence required at this submission stage"</formula>
    </cfRule>
  </conditionalFormatting>
  <conditionalFormatting sqref="H172:I172">
    <cfRule type="expression" dxfId="364" priority="6">
      <formula>$B172="No evidence required at this submission stage"</formula>
    </cfRule>
  </conditionalFormatting>
  <conditionalFormatting sqref="F44:F51 F57:F63">
    <cfRule type="expression" dxfId="363" priority="5">
      <formula>$E44&lt;&gt;"normal fans"</formula>
    </cfRule>
  </conditionalFormatting>
  <conditionalFormatting sqref="E435:E449">
    <cfRule type="expression" dxfId="362" priority="4">
      <formula>$D435&lt;&gt;"normal fans"</formula>
    </cfRule>
  </conditionalFormatting>
  <conditionalFormatting sqref="G386:I386">
    <cfRule type="expression" dxfId="361" priority="3">
      <formula>$B386="No evidence required at this submission stage"</formula>
    </cfRule>
  </conditionalFormatting>
  <conditionalFormatting sqref="F52:F56">
    <cfRule type="expression" dxfId="360" priority="2">
      <formula>$E52&lt;&gt;"normal fans"</formula>
    </cfRule>
  </conditionalFormatting>
  <conditionalFormatting sqref="G106:J110">
    <cfRule type="expression" dxfId="359" priority="1">
      <formula>$E$99="Yes"</formula>
    </cfRule>
  </conditionalFormatting>
  <dataValidations xWindow="368" yWindow="517" count="28">
    <dataValidation type="list" allowBlank="1" showInputMessage="1" showErrorMessage="1" sqref="G70:G72 G464:G465 G320:G321 G390:G391 G456:G457 G460:G461 G128:G129 G271:G273 G171:G172 G385:G387" xr:uid="{00000000-0002-0000-0F00-000000000000}">
      <formula1>"Select,Submitted,Not submitted"</formula1>
    </dataValidation>
    <dataValidation allowBlank="1" showInputMessage="1" showErrorMessage="1" prompt="Name of the HVAC systems " sqref="B342:C351" xr:uid="{00000000-0002-0000-0F00-000001000000}"/>
    <dataValidation type="list" allowBlank="1" showInputMessage="1" showErrorMessage="1" sqref="D342:E351" xr:uid="{00000000-0002-0000-0F00-000002000000}">
      <formula1>"Select,VRV/VRF systems, VAV systems,VSD on chiller plant equipment,Variable speed compressors,None"</formula1>
    </dataValidation>
    <dataValidation allowBlank="1" showInputMessage="1" showErrorMessage="1" prompt="Details on the variable speed control strategy employed" sqref="F342:G351" xr:uid="{00000000-0002-0000-0F00-000003000000}"/>
    <dataValidation type="list" allowBlank="1" showInputMessage="1" showErrorMessage="1" sqref="E421:F421 D369:D378 D44:D63 E99 G102:G121" xr:uid="{00000000-0002-0000-0F00-000004000000}">
      <formula1>"Select,Yes,No"</formula1>
    </dataValidation>
    <dataValidation type="list" allowBlank="1" showInputMessage="1" showErrorMessage="1" prompt="Select 'N/A' if the interior space does not have more than one solar exposure." sqref="G408 G292" xr:uid="{00000000-0002-0000-0F00-000005000000}">
      <formula1>"Select,Yes,No,N/A"</formula1>
    </dataValidation>
    <dataValidation allowBlank="1" showInputMessage="1" showErrorMessage="1" prompt="Enter the name of the occupied room" sqref="B435:B449 B369:B378 B102:B121" xr:uid="{00000000-0002-0000-0F00-000006000000}"/>
    <dataValidation type="list" allowBlank="1" showInputMessage="1" showErrorMessage="1" sqref="E369:F378" xr:uid="{00000000-0002-0000-0F00-000007000000}">
      <formula1>$O$357:$O$361</formula1>
    </dataValidation>
    <dataValidation type="list" allowBlank="1" showInputMessage="1" showErrorMessage="1" sqref="D163" xr:uid="{00000000-0002-0000-0F00-000008000000}">
      <formula1>type_AC</formula1>
    </dataValidation>
    <dataValidation allowBlank="1" showInputMessage="1" showErrorMessage="1" prompt="An interior space without direct openings to the outdoors can be naturally ventilated through adjoining rooms if the unobstructed openings between the rooms are at least 8% of the floor area (with a minimum of 2.3 m2)" sqref="J101" xr:uid="{00000000-0002-0000-0F00-000009000000}"/>
    <dataValidation allowBlank="1" showInputMessage="1" showErrorMessage="1" prompt="Distance between the supply and exhaust openings should not be more than 15 meters" sqref="I101" xr:uid="{00000000-0002-0000-0F00-00000A000000}"/>
    <dataValidation allowBlank="1" showInputMessage="1" showErrorMessage="1" prompt="Example: _x000a_4 openings: 1 opening of 2 m2, 1 opening of 3m2 and 2 openings of 2.5 m2_x000a_Write information as follows:_x000a_&quot;1 OP1 - 2 m2_x000a_1 OP2 - 3 m2_x000a_2 OP3 - 2.5 m2&quot;" sqref="D101:D121" xr:uid="{00000000-0002-0000-0F00-00000B000000}"/>
    <dataValidation type="list" allowBlank="1" showInputMessage="1" showErrorMessage="1" sqref="G293:G294" xr:uid="{00000000-0002-0000-0F00-00000C000000}">
      <formula1>"Select,Yes,No,N/A"</formula1>
    </dataValidation>
    <dataValidation allowBlank="1" showInputMessage="1" showErrorMessage="1" prompt="Enter the name of the control zone" sqref="B299:B313" xr:uid="{00000000-0002-0000-0F00-00000D000000}"/>
    <dataValidation allowBlank="1" showInputMessage="1" showErrorMessage="1" prompt="List of rooms included in the control zone" sqref="C299:D313" xr:uid="{00000000-0002-0000-0F00-00000E000000}"/>
    <dataValidation type="list" allowBlank="1" showInputMessage="1" showErrorMessage="1" prompt="Direct and unobstructed route between the windward inlet and leeward outlet openings (direct path to the outside)." sqref="H101:H121" xr:uid="{00000000-0002-0000-0F00-00000F000000}">
      <formula1>"Select,Yes,No"</formula1>
    </dataValidation>
    <dataValidation allowBlank="1" showInputMessage="1" showErrorMessage="1" prompt="Direct and unobstructed route between the windward inlet and leeward outlet openings (direct path to the outside)." sqref="G101" xr:uid="{00000000-0002-0000-0F00-000010000000}"/>
    <dataValidation type="list" allowBlank="1" showInputMessage="1" showErrorMessage="1" prompt="An interior space without direct openings to the outdoors can be naturally ventilated through adjoining rooms if the unobstructed openings between the rooms are at least 8% of the floor area (with a minimum of 2.3 m2)" sqref="J102:J121" xr:uid="{00000000-0002-0000-0F00-000011000000}">
      <formula1>"Select,Yes,No"</formula1>
    </dataValidation>
    <dataValidation allowBlank="1" showInputMessage="1" showErrorMessage="1" prompt="Schedule, occupancy sensor, temperature sensor, etc." sqref="E298:E313" xr:uid="{00000000-0002-0000-0F00-000012000000}"/>
    <dataValidation type="list" allowBlank="1" showInputMessage="1" showErrorMessage="1" sqref="D435:D449" xr:uid="{00000000-0002-0000-0F00-000013000000}">
      <formula1>"Select, normal fans, HVLS fans"</formula1>
    </dataValidation>
    <dataValidation type="list" allowBlank="1" showInputMessage="1" showErrorMessage="1" sqref="D138 D28" xr:uid="{00000000-0002-0000-0F00-000014000000}">
      <formula1>"Select,Prescriptive Path, Performance Path"</formula1>
    </dataValidation>
    <dataValidation type="list" allowBlank="1" showInputMessage="1" showErrorMessage="1" sqref="F154:F163" xr:uid="{00000000-0002-0000-0F00-000015000000}">
      <formula1>"Select,no star, 1 star, 2 stars, 3 stars, 4 stars, 5 stars"</formula1>
    </dataValidation>
    <dataValidation allowBlank="1" showInputMessage="1" showErrorMessage="1" prompt="Enter the cooling capacity of the air-conditioning unit at rating conditions." sqref="G215:G229 G241:G255" xr:uid="{00000000-0002-0000-0F00-000016000000}"/>
    <dataValidation type="list" allowBlank="1" showInputMessage="1" showErrorMessage="1" sqref="E44:E63" xr:uid="{00000000-0002-0000-0F00-000017000000}">
      <formula1>"Select, normal fans, HVLS fans, cross ventilation,none"</formula1>
    </dataValidation>
    <dataValidation allowBlank="1" showInputMessage="1" showErrorMessage="1" prompt="If normal fans are used, enter the number of fans installed in the space to calculate the density of fans." sqref="E435:E449 F43:F63" xr:uid="{00000000-0002-0000-0F00-000018000000}"/>
    <dataValidation allowBlank="1" showInputMessage="1" showErrorMessage="1" prompt="Enter the CSPF value (also named energy efficiency value) shown in manufacturer's data or on the energy label from VNEEP." sqref="H214:H229" xr:uid="{4B7F6C67-7FAC-46F2-A341-2DE18A780CB7}"/>
    <dataValidation type="list" allowBlank="1" showInputMessage="1" showErrorMessage="1" sqref="D215:D229" xr:uid="{32C0802B-F0E7-48F0-82B1-2C86207C44F4}">
      <formula1>type_nonductedAC</formula1>
    </dataValidation>
    <dataValidation type="list" allowBlank="1" showInputMessage="1" showErrorMessage="1" sqref="D241:D255" xr:uid="{481E6BF1-2334-41D7-A549-B87EED055902}">
      <formula1>type_ductedAC</formula1>
    </dataValidation>
  </dataValidations>
  <hyperlinks>
    <hyperlink ref="M2" location="'E-2 Artificial Lighting'!B3" tooltip="E-2" display="E-2" xr:uid="{00000000-0004-0000-0F00-000000000000}"/>
    <hyperlink ref="M4" location="'E-4 Energy Monitor'!B3" tooltip="E-4" display="E-4" xr:uid="{00000000-0004-0000-0F00-000001000000}"/>
    <hyperlink ref="M3" location="'E-3 Energy Efficient Appliances'!B3" tooltip="E-3" display="E-3" xr:uid="{00000000-0004-0000-0F00-000002000000}"/>
    <hyperlink ref="N3" location="'Energy BPC'!B3" tooltip="E-BPC" display="E-BPC" xr:uid="{00000000-0004-0000-0F00-000003000000}"/>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8AB27"/>
  </sheetPr>
  <dimension ref="A1:T427"/>
  <sheetViews>
    <sheetView showGridLines="0" showRowColHeaders="0" zoomScaleNormal="100" workbookViewId="0">
      <pane ySplit="8" topLeftCell="A9" activePane="bottomLeft" state="frozen"/>
      <selection activeCell="D61" sqref="D61"/>
      <selection pane="bottomLeft" activeCell="K3" sqref="K3"/>
    </sheetView>
  </sheetViews>
  <sheetFormatPr defaultColWidth="0" defaultRowHeight="15" zeroHeight="1" x14ac:dyDescent="0.25"/>
  <cols>
    <col min="1" max="1" width="4.140625" style="35" customWidth="1"/>
    <col min="2" max="2" width="22.7109375" style="35" customWidth="1"/>
    <col min="3" max="5" width="20.7109375" style="35" customWidth="1"/>
    <col min="6" max="6" width="18.42578125" style="35" customWidth="1"/>
    <col min="7" max="7" width="21.140625" style="35" customWidth="1"/>
    <col min="8" max="9" width="20" style="35" customWidth="1"/>
    <col min="10" max="10" width="19.7109375" style="35" customWidth="1"/>
    <col min="11" max="12" width="7.7109375" style="35" customWidth="1"/>
    <col min="13" max="13" width="35.28515625" style="35" hidden="1" customWidth="1"/>
    <col min="14" max="14" width="27.85546875" style="35" hidden="1" customWidth="1"/>
    <col min="15" max="16384" width="9.140625" style="35" hidden="1"/>
  </cols>
  <sheetData>
    <row r="1" spans="1:13" ht="25.5" customHeight="1" x14ac:dyDescent="0.25">
      <c r="A1" s="1743" t="s">
        <v>251</v>
      </c>
      <c r="B1" s="1743"/>
      <c r="C1" s="1743"/>
      <c r="D1" s="1743"/>
      <c r="E1" s="1743"/>
      <c r="F1" s="1743"/>
      <c r="G1" s="1743"/>
      <c r="H1" s="1743"/>
      <c r="I1" s="1743"/>
      <c r="J1" s="1743"/>
      <c r="K1" s="1743"/>
      <c r="L1" s="1743"/>
    </row>
    <row r="2" spans="1:13" ht="15" customHeight="1" x14ac:dyDescent="0.25">
      <c r="A2" s="46"/>
      <c r="B2" s="46"/>
      <c r="C2" s="46"/>
      <c r="D2" s="46"/>
      <c r="E2" s="46"/>
      <c r="F2" s="45"/>
      <c r="G2" s="45"/>
      <c r="H2" s="1753" t="s">
        <v>1263</v>
      </c>
      <c r="I2" s="1753"/>
      <c r="J2" s="1753"/>
      <c r="K2" s="122" t="s">
        <v>19</v>
      </c>
      <c r="L2" s="122"/>
    </row>
    <row r="3" spans="1:13" ht="15" customHeight="1" x14ac:dyDescent="0.25">
      <c r="A3" s="46"/>
      <c r="B3" s="46"/>
      <c r="C3" s="46"/>
      <c r="D3" s="46"/>
      <c r="E3" s="46"/>
      <c r="F3" s="45"/>
      <c r="G3" s="45"/>
      <c r="H3" s="1753"/>
      <c r="I3" s="1753"/>
      <c r="J3" s="1753"/>
      <c r="K3" s="122" t="s">
        <v>21</v>
      </c>
      <c r="L3" s="122" t="s">
        <v>1648</v>
      </c>
    </row>
    <row r="4" spans="1:13" ht="15" customHeight="1" x14ac:dyDescent="0.25">
      <c r="A4" s="46"/>
      <c r="B4" s="46"/>
      <c r="C4" s="46"/>
      <c r="D4" s="46"/>
      <c r="E4" s="46"/>
      <c r="F4" s="45"/>
      <c r="G4" s="45"/>
      <c r="H4" s="1754"/>
      <c r="I4" s="1754"/>
      <c r="J4" s="1754"/>
      <c r="K4" s="122" t="s">
        <v>22</v>
      </c>
      <c r="L4" s="122"/>
    </row>
    <row r="5" spans="1:13" ht="20.25" customHeight="1" x14ac:dyDescent="0.25">
      <c r="A5" s="1656" t="s">
        <v>2623</v>
      </c>
      <c r="B5" s="1657"/>
      <c r="C5" s="1657"/>
      <c r="D5" s="1657"/>
      <c r="E5" s="1657"/>
      <c r="F5" s="1657"/>
      <c r="G5" s="1657"/>
      <c r="H5" s="1657"/>
      <c r="I5" s="1657"/>
      <c r="J5" s="1657"/>
      <c r="K5" s="1657"/>
      <c r="L5" s="1658"/>
    </row>
    <row r="6" spans="1:13" ht="20.25" customHeight="1" x14ac:dyDescent="0.25">
      <c r="A6" s="1659"/>
      <c r="B6" s="1660"/>
      <c r="C6" s="1660"/>
      <c r="D6" s="1660"/>
      <c r="E6" s="1660"/>
      <c r="F6" s="1660"/>
      <c r="G6" s="1660"/>
      <c r="H6" s="1660"/>
      <c r="I6" s="1660"/>
      <c r="J6" s="1660"/>
      <c r="K6" s="1660"/>
      <c r="L6" s="1661"/>
    </row>
    <row r="7" spans="1:13" ht="20.25" customHeight="1" x14ac:dyDescent="0.25">
      <c r="A7" s="1662"/>
      <c r="B7" s="1663"/>
      <c r="C7" s="1663"/>
      <c r="D7" s="1663"/>
      <c r="E7" s="1663"/>
      <c r="F7" s="1663"/>
      <c r="G7" s="1663"/>
      <c r="H7" s="1663"/>
      <c r="I7" s="1663"/>
      <c r="J7" s="1663"/>
      <c r="K7" s="1663"/>
      <c r="L7" s="1664"/>
    </row>
    <row r="8" spans="1:13" ht="10.5" customHeight="1" x14ac:dyDescent="0.25">
      <c r="A8" s="45"/>
      <c r="B8" s="46"/>
      <c r="C8" s="46"/>
      <c r="D8" s="46"/>
      <c r="E8" s="46"/>
      <c r="F8" s="45"/>
      <c r="G8" s="45"/>
      <c r="H8" s="45"/>
      <c r="I8" s="45"/>
      <c r="J8" s="45"/>
      <c r="K8" s="45"/>
      <c r="L8" s="45"/>
    </row>
    <row r="9" spans="1:13" ht="18" customHeight="1" x14ac:dyDescent="0.25">
      <c r="A9" s="1667" t="s">
        <v>82</v>
      </c>
      <c r="B9" s="1667"/>
      <c r="C9" s="1667"/>
      <c r="D9" s="1667"/>
      <c r="E9" s="1667"/>
      <c r="F9" s="1667"/>
      <c r="G9" s="1667"/>
      <c r="H9" s="1667"/>
      <c r="I9" s="1667"/>
      <c r="J9" s="1667"/>
      <c r="K9" s="1667"/>
      <c r="L9" s="1667"/>
    </row>
    <row r="10" spans="1:13" x14ac:dyDescent="0.25">
      <c r="A10" s="45"/>
      <c r="B10" s="46"/>
      <c r="C10" s="46"/>
      <c r="D10" s="46"/>
      <c r="E10" s="46"/>
      <c r="F10" s="45"/>
      <c r="G10" s="45"/>
      <c r="H10" s="45"/>
      <c r="I10" s="45"/>
      <c r="J10" s="45"/>
      <c r="K10" s="45"/>
      <c r="L10" s="45"/>
    </row>
    <row r="11" spans="1:13" ht="18" customHeight="1" x14ac:dyDescent="0.25">
      <c r="A11" s="45"/>
      <c r="B11" s="1795" t="s">
        <v>274</v>
      </c>
      <c r="C11" s="1796"/>
      <c r="D11" s="1796"/>
      <c r="E11" s="1796"/>
      <c r="F11" s="263" t="s">
        <v>64</v>
      </c>
      <c r="G11" s="263" t="s">
        <v>16</v>
      </c>
      <c r="H11" s="70" t="s">
        <v>133</v>
      </c>
      <c r="I11" s="45"/>
      <c r="J11" s="45"/>
      <c r="K11" s="45"/>
      <c r="L11" s="45"/>
    </row>
    <row r="12" spans="1:13" ht="18" customHeight="1" x14ac:dyDescent="0.25">
      <c r="A12" s="45"/>
      <c r="B12" s="1755" t="s">
        <v>2209</v>
      </c>
      <c r="C12" s="1756"/>
      <c r="D12" s="1756"/>
      <c r="E12" s="1756"/>
      <c r="F12" s="1756"/>
      <c r="G12" s="1756"/>
      <c r="H12" s="1757"/>
      <c r="I12" s="45"/>
      <c r="J12" s="45"/>
      <c r="K12" s="45"/>
      <c r="L12" s="45"/>
    </row>
    <row r="13" spans="1:13" ht="46.5" customHeight="1" x14ac:dyDescent="0.25">
      <c r="A13" s="45"/>
      <c r="B13" s="1797" t="s">
        <v>2222</v>
      </c>
      <c r="C13" s="1798"/>
      <c r="D13" s="1798"/>
      <c r="E13" s="1799"/>
      <c r="F13" s="276">
        <v>4</v>
      </c>
      <c r="G13" s="281">
        <f>C110</f>
        <v>0</v>
      </c>
      <c r="H13" s="281" t="str">
        <f>C111</f>
        <v>No</v>
      </c>
      <c r="I13" s="45"/>
      <c r="J13" s="45"/>
      <c r="K13" s="45"/>
      <c r="L13" s="45"/>
      <c r="M13" s="35" t="str">
        <f>IF(G13&lt;&gt;0,IF(H13="No","No","Yes"),"Yes")</f>
        <v>Yes</v>
      </c>
    </row>
    <row r="14" spans="1:13" ht="18" customHeight="1" x14ac:dyDescent="0.25">
      <c r="A14" s="45"/>
      <c r="B14" s="1755" t="s">
        <v>2223</v>
      </c>
      <c r="C14" s="1756"/>
      <c r="D14" s="1756"/>
      <c r="E14" s="1756"/>
      <c r="F14" s="1756"/>
      <c r="G14" s="1756"/>
      <c r="H14" s="1757"/>
      <c r="I14" s="45"/>
      <c r="J14" s="45"/>
      <c r="K14" s="45"/>
      <c r="L14" s="45"/>
    </row>
    <row r="15" spans="1:13" ht="25.5" customHeight="1" x14ac:dyDescent="0.25">
      <c r="A15" s="45"/>
      <c r="B15" s="1797" t="s">
        <v>2224</v>
      </c>
      <c r="C15" s="1798"/>
      <c r="D15" s="1798"/>
      <c r="E15" s="1799"/>
      <c r="F15" s="276">
        <v>1</v>
      </c>
      <c r="G15" s="276">
        <f>C168</f>
        <v>0</v>
      </c>
      <c r="H15" s="276" t="str">
        <f>C169</f>
        <v>No</v>
      </c>
      <c r="I15" s="45"/>
      <c r="J15" s="45"/>
      <c r="K15" s="45"/>
      <c r="L15" s="45"/>
      <c r="M15" s="35" t="str">
        <f t="shared" ref="M15:M17" si="0">IF(G15&lt;&gt;0,IF(H15="No","No","Yes"),"Yes")</f>
        <v>Yes</v>
      </c>
    </row>
    <row r="16" spans="1:13" ht="18" customHeight="1" x14ac:dyDescent="0.25">
      <c r="A16" s="45"/>
      <c r="B16" s="1755" t="s">
        <v>2225</v>
      </c>
      <c r="C16" s="1756"/>
      <c r="D16" s="1756"/>
      <c r="E16" s="1756"/>
      <c r="F16" s="1756"/>
      <c r="G16" s="1756"/>
      <c r="H16" s="1757"/>
      <c r="I16" s="45"/>
      <c r="J16" s="45"/>
      <c r="K16" s="45"/>
      <c r="L16" s="45"/>
    </row>
    <row r="17" spans="1:13" ht="24" customHeight="1" x14ac:dyDescent="0.25">
      <c r="A17" s="45"/>
      <c r="B17" s="1797" t="s">
        <v>2226</v>
      </c>
      <c r="C17" s="1798"/>
      <c r="D17" s="1798"/>
      <c r="E17" s="1799"/>
      <c r="F17" s="276">
        <v>1</v>
      </c>
      <c r="G17" s="276">
        <f>C209</f>
        <v>0</v>
      </c>
      <c r="H17" s="276" t="str">
        <f>C210</f>
        <v>No</v>
      </c>
      <c r="I17" s="45"/>
      <c r="J17" s="45"/>
      <c r="K17" s="45"/>
      <c r="L17" s="45"/>
      <c r="M17" s="35" t="str">
        <f t="shared" si="0"/>
        <v>Yes</v>
      </c>
    </row>
    <row r="18" spans="1:13" ht="18" customHeight="1" x14ac:dyDescent="0.25">
      <c r="A18" s="45"/>
      <c r="B18" s="1810" t="s">
        <v>25</v>
      </c>
      <c r="C18" s="1811"/>
      <c r="D18" s="1811"/>
      <c r="E18" s="1812"/>
      <c r="F18" s="498">
        <v>5</v>
      </c>
      <c r="G18" s="498">
        <f>MIN(5,SUM(G13:G17))</f>
        <v>0</v>
      </c>
      <c r="H18" s="498" t="str">
        <f>IF(OR(G18=0,COUNTIF(H13:H17,"No")=3),"No",IF(COUNTIF(M13:M17,"Yes")=4,"Yes","No"))</f>
        <v>No</v>
      </c>
      <c r="I18" s="45"/>
      <c r="J18" s="45"/>
      <c r="K18" s="45"/>
      <c r="L18" s="45"/>
    </row>
    <row r="19" spans="1:13" ht="16.5" customHeight="1" x14ac:dyDescent="0.25">
      <c r="A19" s="45"/>
      <c r="B19" s="46"/>
      <c r="C19" s="46"/>
      <c r="D19" s="46"/>
      <c r="E19" s="46"/>
      <c r="F19" s="45"/>
      <c r="G19" s="630" t="str">
        <f>IFERROR(IF(SUM(G13:G17)&gt;5,"→ One EP-1 point can be targeted",""),"")</f>
        <v/>
      </c>
      <c r="H19" s="45"/>
      <c r="I19" s="45"/>
      <c r="J19" s="45"/>
      <c r="K19" s="45"/>
      <c r="L19" s="45"/>
    </row>
    <row r="20" spans="1:13" ht="18" customHeight="1" x14ac:dyDescent="0.25">
      <c r="A20" s="1667" t="s">
        <v>2227</v>
      </c>
      <c r="B20" s="1667"/>
      <c r="C20" s="1667"/>
      <c r="D20" s="1667"/>
      <c r="E20" s="1667"/>
      <c r="F20" s="1667"/>
      <c r="G20" s="1667"/>
      <c r="H20" s="1667"/>
      <c r="I20" s="1667"/>
      <c r="J20" s="1667"/>
      <c r="K20" s="1667"/>
      <c r="L20" s="1667"/>
    </row>
    <row r="21" spans="1:13" ht="15" customHeight="1" x14ac:dyDescent="0.25">
      <c r="A21" s="119"/>
      <c r="B21" s="119"/>
      <c r="C21" s="119"/>
      <c r="D21" s="119"/>
      <c r="E21" s="119"/>
      <c r="F21" s="119"/>
      <c r="G21" s="119"/>
      <c r="H21" s="119"/>
      <c r="I21" s="119"/>
      <c r="J21" s="119"/>
      <c r="K21" s="119"/>
      <c r="L21" s="119"/>
    </row>
    <row r="22" spans="1:13" ht="15" customHeight="1" x14ac:dyDescent="0.25">
      <c r="A22" s="1688" t="s">
        <v>102</v>
      </c>
      <c r="B22" s="1688"/>
      <c r="C22" s="1688"/>
      <c r="D22" s="119"/>
      <c r="E22" s="119"/>
      <c r="F22" s="119"/>
      <c r="G22" s="119"/>
      <c r="H22" s="119"/>
      <c r="I22" s="119"/>
      <c r="J22" s="119"/>
      <c r="K22" s="119"/>
      <c r="L22" s="119"/>
    </row>
    <row r="23" spans="1:13" ht="13.5" customHeight="1" x14ac:dyDescent="0.25">
      <c r="A23" s="119"/>
      <c r="B23" s="119"/>
      <c r="C23" s="119"/>
      <c r="D23" s="119"/>
      <c r="E23" s="119"/>
      <c r="F23" s="119"/>
      <c r="G23" s="119"/>
      <c r="H23" s="119"/>
      <c r="I23" s="119"/>
      <c r="J23" s="119"/>
      <c r="K23" s="119"/>
      <c r="L23" s="119"/>
    </row>
    <row r="24" spans="1:13" ht="15" customHeight="1" x14ac:dyDescent="0.25">
      <c r="A24" s="119"/>
      <c r="B24" s="476" t="s">
        <v>1891</v>
      </c>
      <c r="C24" s="415"/>
      <c r="D24" s="415"/>
      <c r="E24" s="415"/>
      <c r="F24" s="415"/>
      <c r="G24" s="416"/>
      <c r="H24" s="119"/>
      <c r="I24" s="119"/>
      <c r="J24" s="119"/>
      <c r="K24" s="119"/>
      <c r="L24" s="119"/>
    </row>
    <row r="25" spans="1:13" ht="15" customHeight="1" x14ac:dyDescent="0.25">
      <c r="A25" s="119"/>
      <c r="B25" s="562" t="s">
        <v>640</v>
      </c>
      <c r="C25" s="417"/>
      <c r="D25" s="417"/>
      <c r="E25" s="417"/>
      <c r="F25" s="417"/>
      <c r="G25" s="418"/>
      <c r="H25" s="119"/>
      <c r="I25" s="119"/>
      <c r="J25" s="119"/>
      <c r="K25" s="119"/>
      <c r="L25" s="119"/>
    </row>
    <row r="26" spans="1:13" ht="15" customHeight="1" x14ac:dyDescent="0.25">
      <c r="A26" s="119"/>
      <c r="B26" s="562" t="s">
        <v>641</v>
      </c>
      <c r="C26" s="417"/>
      <c r="D26" s="417"/>
      <c r="E26" s="417"/>
      <c r="F26" s="417"/>
      <c r="G26" s="418"/>
      <c r="H26" s="119"/>
      <c r="I26" s="119"/>
      <c r="J26" s="119"/>
      <c r="K26" s="119"/>
      <c r="L26" s="119"/>
    </row>
    <row r="27" spans="1:13" ht="15" customHeight="1" x14ac:dyDescent="0.25">
      <c r="A27" s="119"/>
      <c r="B27" s="562" t="s">
        <v>642</v>
      </c>
      <c r="C27" s="417"/>
      <c r="D27" s="417"/>
      <c r="E27" s="417"/>
      <c r="F27" s="417"/>
      <c r="G27" s="418"/>
      <c r="H27" s="119"/>
      <c r="I27" s="119"/>
      <c r="J27" s="119"/>
      <c r="K27" s="119"/>
      <c r="L27" s="119"/>
    </row>
    <row r="28" spans="1:13" ht="15" customHeight="1" x14ac:dyDescent="0.25">
      <c r="A28" s="119"/>
      <c r="B28" s="563" t="s">
        <v>643</v>
      </c>
      <c r="C28" s="419"/>
      <c r="D28" s="419"/>
      <c r="E28" s="419"/>
      <c r="F28" s="419"/>
      <c r="G28" s="420"/>
      <c r="H28" s="119"/>
      <c r="I28" s="119"/>
      <c r="J28" s="119"/>
      <c r="K28" s="119"/>
      <c r="L28" s="119"/>
    </row>
    <row r="29" spans="1:13" ht="9" customHeight="1" x14ac:dyDescent="0.25">
      <c r="A29" s="119"/>
      <c r="B29" s="119"/>
      <c r="C29" s="119"/>
      <c r="D29" s="119"/>
      <c r="E29" s="119"/>
      <c r="F29" s="119"/>
      <c r="G29" s="119"/>
      <c r="H29" s="119"/>
      <c r="I29" s="119"/>
      <c r="J29" s="119"/>
      <c r="K29" s="119"/>
      <c r="L29" s="119"/>
    </row>
    <row r="30" spans="1:13" ht="12" customHeight="1" x14ac:dyDescent="0.25">
      <c r="A30" s="119"/>
      <c r="B30" s="1789" t="s">
        <v>2228</v>
      </c>
      <c r="C30" s="1800"/>
      <c r="D30" s="1800"/>
      <c r="E30" s="1800"/>
      <c r="F30" s="1800"/>
      <c r="G30" s="1801"/>
      <c r="H30" s="119"/>
      <c r="I30" s="119"/>
      <c r="J30" s="119"/>
      <c r="K30" s="119"/>
      <c r="L30" s="119"/>
    </row>
    <row r="31" spans="1:13" ht="12" customHeight="1" x14ac:dyDescent="0.25">
      <c r="A31" s="119"/>
      <c r="B31" s="1802"/>
      <c r="C31" s="1803"/>
      <c r="D31" s="1803"/>
      <c r="E31" s="1803"/>
      <c r="F31" s="1803"/>
      <c r="G31" s="1804"/>
      <c r="H31" s="119"/>
      <c r="I31" s="119"/>
      <c r="J31" s="119"/>
      <c r="K31" s="119"/>
      <c r="L31" s="119"/>
    </row>
    <row r="32" spans="1:13" ht="12" customHeight="1" x14ac:dyDescent="0.25">
      <c r="A32" s="119"/>
      <c r="B32" s="1805"/>
      <c r="C32" s="1806"/>
      <c r="D32" s="1806"/>
      <c r="E32" s="1806"/>
      <c r="F32" s="1806"/>
      <c r="G32" s="1807"/>
      <c r="H32" s="119"/>
      <c r="I32" s="119"/>
      <c r="J32" s="119"/>
      <c r="K32" s="119"/>
      <c r="L32" s="119"/>
    </row>
    <row r="33" spans="1:14" ht="15" customHeight="1" x14ac:dyDescent="0.25">
      <c r="A33" s="119"/>
      <c r="B33" s="119"/>
      <c r="C33" s="119"/>
      <c r="D33" s="119"/>
      <c r="E33" s="119"/>
      <c r="F33" s="119"/>
      <c r="G33" s="119"/>
      <c r="H33" s="119"/>
      <c r="I33" s="119"/>
      <c r="J33" s="119"/>
      <c r="K33" s="119"/>
      <c r="L33" s="119"/>
    </row>
    <row r="34" spans="1:14" ht="18" customHeight="1" x14ac:dyDescent="0.25">
      <c r="A34" s="119"/>
      <c r="B34" s="1159" t="s">
        <v>1892</v>
      </c>
      <c r="C34" s="1132"/>
      <c r="D34" s="1132"/>
      <c r="E34" s="1132"/>
      <c r="F34" s="1132"/>
      <c r="G34" s="1133"/>
      <c r="H34" s="119"/>
      <c r="I34" s="119"/>
      <c r="J34" s="119"/>
      <c r="K34" s="119"/>
      <c r="L34" s="119"/>
    </row>
    <row r="35" spans="1:14" ht="18" customHeight="1" x14ac:dyDescent="0.25">
      <c r="A35" s="119"/>
      <c r="B35" s="1145" t="s">
        <v>1893</v>
      </c>
      <c r="C35" s="1135"/>
      <c r="D35" s="1135"/>
      <c r="E35" s="1135"/>
      <c r="F35" s="1135"/>
      <c r="G35" s="1136"/>
      <c r="H35" s="119"/>
      <c r="I35" s="119"/>
      <c r="J35" s="119"/>
      <c r="K35" s="119"/>
      <c r="L35" s="119"/>
    </row>
    <row r="36" spans="1:14" ht="15" customHeight="1" x14ac:dyDescent="0.25">
      <c r="A36" s="119"/>
      <c r="B36" s="119"/>
      <c r="C36" s="119"/>
      <c r="D36" s="119"/>
      <c r="E36" s="119"/>
      <c r="F36" s="119"/>
      <c r="G36" s="119"/>
      <c r="H36" s="119"/>
      <c r="I36" s="119"/>
      <c r="J36" s="119"/>
      <c r="K36" s="119"/>
      <c r="L36" s="119"/>
    </row>
    <row r="37" spans="1:14" ht="25.5" customHeight="1" x14ac:dyDescent="0.25">
      <c r="A37" s="119"/>
      <c r="B37" s="1768" t="s">
        <v>2238</v>
      </c>
      <c r="C37" s="1768"/>
      <c r="D37" s="1768"/>
      <c r="E37" s="1212"/>
      <c r="F37" s="1212"/>
      <c r="G37" s="119"/>
      <c r="H37" s="119"/>
      <c r="I37" s="119"/>
      <c r="J37" s="119"/>
      <c r="K37" s="119"/>
      <c r="L37" s="119"/>
      <c r="M37" s="46"/>
    </row>
    <row r="38" spans="1:14" ht="19.5" customHeight="1" x14ac:dyDescent="0.25">
      <c r="A38" s="119"/>
      <c r="B38" s="1808" t="s">
        <v>2229</v>
      </c>
      <c r="C38" s="1809"/>
      <c r="D38" s="456" t="s">
        <v>637</v>
      </c>
      <c r="E38" s="119"/>
      <c r="F38" s="119"/>
      <c r="G38" s="119"/>
      <c r="H38" s="119"/>
      <c r="I38" s="119"/>
      <c r="J38" s="119"/>
      <c r="K38" s="119"/>
      <c r="L38" s="119"/>
    </row>
    <row r="39" spans="1:14" ht="17.25" customHeight="1" x14ac:dyDescent="0.25">
      <c r="A39" s="119"/>
      <c r="B39" s="1763" t="s">
        <v>2230</v>
      </c>
      <c r="C39" s="1764"/>
      <c r="D39" s="1765"/>
      <c r="E39" s="119"/>
      <c r="F39" s="119"/>
      <c r="G39" s="119"/>
      <c r="H39" s="119"/>
      <c r="I39" s="119"/>
      <c r="J39" s="119"/>
      <c r="K39" s="119"/>
      <c r="L39" s="119"/>
      <c r="M39" s="46" t="s">
        <v>53</v>
      </c>
    </row>
    <row r="40" spans="1:14" ht="15" customHeight="1" x14ac:dyDescent="0.25">
      <c r="A40" s="119"/>
      <c r="B40" s="1766" t="s">
        <v>627</v>
      </c>
      <c r="C40" s="1767"/>
      <c r="D40" s="1206">
        <v>11</v>
      </c>
      <c r="E40" s="119"/>
      <c r="F40" s="119"/>
      <c r="G40" s="119"/>
      <c r="H40" s="119"/>
      <c r="I40" s="119"/>
      <c r="J40" s="119"/>
      <c r="K40" s="119"/>
      <c r="L40" s="119"/>
      <c r="M40" s="478" t="s">
        <v>627</v>
      </c>
      <c r="N40" s="462">
        <v>11</v>
      </c>
    </row>
    <row r="41" spans="1:14" ht="15" customHeight="1" x14ac:dyDescent="0.25">
      <c r="A41" s="119"/>
      <c r="B41" s="1766" t="s">
        <v>628</v>
      </c>
      <c r="C41" s="1767"/>
      <c r="D41" s="1206">
        <v>11</v>
      </c>
      <c r="E41" s="119"/>
      <c r="F41" s="119"/>
      <c r="G41" s="119"/>
      <c r="H41" s="119"/>
      <c r="I41" s="119"/>
      <c r="J41" s="119"/>
      <c r="K41" s="119"/>
      <c r="L41" s="119"/>
      <c r="M41" s="478" t="s">
        <v>628</v>
      </c>
      <c r="N41" s="462">
        <v>11</v>
      </c>
    </row>
    <row r="42" spans="1:14" ht="15" customHeight="1" x14ac:dyDescent="0.25">
      <c r="A42" s="119"/>
      <c r="B42" s="1766" t="s">
        <v>638</v>
      </c>
      <c r="C42" s="1767"/>
      <c r="D42" s="1206">
        <v>13</v>
      </c>
      <c r="E42" s="119"/>
      <c r="F42" s="119"/>
      <c r="G42" s="119"/>
      <c r="H42" s="119"/>
      <c r="I42" s="119"/>
      <c r="J42" s="119"/>
      <c r="K42" s="119"/>
      <c r="L42" s="119"/>
      <c r="M42" s="478" t="s">
        <v>638</v>
      </c>
      <c r="N42" s="462">
        <v>13</v>
      </c>
    </row>
    <row r="43" spans="1:14" ht="15" customHeight="1" x14ac:dyDescent="0.25">
      <c r="A43" s="119"/>
      <c r="B43" s="1766" t="s">
        <v>629</v>
      </c>
      <c r="C43" s="1767"/>
      <c r="D43" s="1206">
        <v>12</v>
      </c>
      <c r="E43" s="119"/>
      <c r="F43" s="119"/>
      <c r="G43" s="119"/>
      <c r="H43" s="119"/>
      <c r="I43" s="119"/>
      <c r="J43" s="119"/>
      <c r="K43" s="119"/>
      <c r="L43" s="119"/>
      <c r="M43" s="478" t="s">
        <v>629</v>
      </c>
      <c r="N43" s="462">
        <v>12</v>
      </c>
    </row>
    <row r="44" spans="1:14" ht="15" customHeight="1" x14ac:dyDescent="0.25">
      <c r="A44" s="119"/>
      <c r="B44" s="1766" t="s">
        <v>639</v>
      </c>
      <c r="C44" s="1767"/>
      <c r="D44" s="1206">
        <v>16</v>
      </c>
      <c r="E44" s="119"/>
      <c r="F44" s="119"/>
      <c r="G44" s="119"/>
      <c r="H44" s="119"/>
      <c r="I44" s="119"/>
      <c r="J44" s="119"/>
      <c r="K44" s="119"/>
      <c r="L44" s="119"/>
      <c r="M44" s="478" t="s">
        <v>639</v>
      </c>
      <c r="N44" s="462">
        <v>16</v>
      </c>
    </row>
    <row r="45" spans="1:14" ht="15" customHeight="1" x14ac:dyDescent="0.25">
      <c r="A45" s="119"/>
      <c r="B45" s="1766" t="s">
        <v>630</v>
      </c>
      <c r="C45" s="1767"/>
      <c r="D45" s="1206">
        <v>8</v>
      </c>
      <c r="E45" s="119"/>
      <c r="F45" s="119"/>
      <c r="G45" s="119"/>
      <c r="H45" s="119"/>
      <c r="I45" s="119"/>
      <c r="J45" s="119"/>
      <c r="K45" s="119"/>
      <c r="L45" s="119"/>
      <c r="M45" s="478" t="s">
        <v>630</v>
      </c>
      <c r="N45" s="462">
        <v>8</v>
      </c>
    </row>
    <row r="46" spans="1:14" ht="17.25" customHeight="1" x14ac:dyDescent="0.25">
      <c r="A46" s="119"/>
      <c r="B46" s="1763" t="s">
        <v>2232</v>
      </c>
      <c r="C46" s="1764"/>
      <c r="D46" s="1765"/>
      <c r="E46" s="1769" t="s">
        <v>2237</v>
      </c>
      <c r="F46" s="1770"/>
      <c r="G46" s="1770"/>
      <c r="H46" s="1770"/>
      <c r="I46" s="1770"/>
      <c r="J46" s="1770"/>
      <c r="K46" s="119"/>
      <c r="L46" s="119"/>
      <c r="M46" s="478" t="str">
        <f>B47</f>
        <v xml:space="preserve">Library </v>
      </c>
      <c r="N46" s="1206">
        <f>D47</f>
        <v>14</v>
      </c>
    </row>
    <row r="47" spans="1:14" ht="15" customHeight="1" x14ac:dyDescent="0.25">
      <c r="A47" s="119"/>
      <c r="B47" s="1766" t="s">
        <v>2231</v>
      </c>
      <c r="C47" s="1767"/>
      <c r="D47" s="1206">
        <v>14</v>
      </c>
      <c r="E47" s="1769"/>
      <c r="F47" s="1770"/>
      <c r="G47" s="1770"/>
      <c r="H47" s="1770"/>
      <c r="I47" s="1770"/>
      <c r="J47" s="1770"/>
      <c r="K47" s="119"/>
      <c r="L47" s="119"/>
      <c r="M47" s="478" t="str">
        <f t="shared" ref="M47:M50" si="1">B48</f>
        <v xml:space="preserve">Convention center </v>
      </c>
      <c r="N47" s="1206">
        <f t="shared" ref="N47:N50" si="2">D48</f>
        <v>15</v>
      </c>
    </row>
    <row r="48" spans="1:14" x14ac:dyDescent="0.25">
      <c r="A48" s="119"/>
      <c r="B48" s="1766" t="s">
        <v>2233</v>
      </c>
      <c r="C48" s="1767"/>
      <c r="D48" s="1206">
        <v>15</v>
      </c>
      <c r="E48" s="119"/>
      <c r="F48" s="119"/>
      <c r="G48" s="119"/>
      <c r="H48" s="119"/>
      <c r="I48" s="119"/>
      <c r="J48" s="119"/>
      <c r="K48" s="119"/>
      <c r="L48" s="119"/>
      <c r="M48" s="478" t="str">
        <f t="shared" si="1"/>
        <v xml:space="preserve">Healthcare clinic </v>
      </c>
      <c r="N48" s="1206">
        <f t="shared" si="2"/>
        <v>11</v>
      </c>
    </row>
    <row r="49" spans="1:18" ht="15" customHeight="1" x14ac:dyDescent="0.25">
      <c r="A49" s="119"/>
      <c r="B49" s="1766" t="s">
        <v>2234</v>
      </c>
      <c r="C49" s="1767"/>
      <c r="D49" s="1206">
        <v>11</v>
      </c>
      <c r="E49" s="119"/>
      <c r="F49" s="119"/>
      <c r="G49" s="119"/>
      <c r="H49" s="119"/>
      <c r="I49" s="119"/>
      <c r="J49" s="119"/>
      <c r="K49" s="119"/>
      <c r="L49" s="119"/>
      <c r="M49" s="478" t="str">
        <f t="shared" si="1"/>
        <v xml:space="preserve">Storage </v>
      </c>
      <c r="N49" s="1206">
        <f t="shared" si="2"/>
        <v>9</v>
      </c>
    </row>
    <row r="50" spans="1:18" ht="15" customHeight="1" x14ac:dyDescent="0.25">
      <c r="A50" s="119"/>
      <c r="B50" s="1766" t="s">
        <v>2235</v>
      </c>
      <c r="C50" s="1767"/>
      <c r="D50" s="1206">
        <v>9</v>
      </c>
      <c r="E50" s="119"/>
      <c r="F50" s="119"/>
      <c r="G50" s="119"/>
      <c r="H50" s="119"/>
      <c r="I50" s="119"/>
      <c r="J50" s="119"/>
      <c r="K50" s="119"/>
      <c r="L50" s="119"/>
      <c r="M50" s="478" t="str">
        <f t="shared" si="1"/>
        <v>Enclosed, in-house, parking space</v>
      </c>
      <c r="N50" s="1206">
        <f t="shared" si="2"/>
        <v>3</v>
      </c>
    </row>
    <row r="51" spans="1:18" ht="15" customHeight="1" x14ac:dyDescent="0.25">
      <c r="A51" s="119"/>
      <c r="B51" s="1766" t="s">
        <v>2236</v>
      </c>
      <c r="C51" s="1767"/>
      <c r="D51" s="1206">
        <v>3</v>
      </c>
      <c r="E51" s="119"/>
      <c r="F51" s="119"/>
      <c r="G51" s="119"/>
      <c r="H51" s="119"/>
      <c r="I51" s="119"/>
      <c r="J51" s="119"/>
      <c r="K51" s="119"/>
      <c r="L51" s="119"/>
    </row>
    <row r="52" spans="1:18" ht="15" customHeight="1" x14ac:dyDescent="0.25">
      <c r="A52" s="119"/>
      <c r="B52" s="943"/>
      <c r="C52" s="119"/>
      <c r="D52" s="119"/>
      <c r="E52" s="119"/>
      <c r="F52" s="119"/>
      <c r="G52" s="119"/>
      <c r="H52" s="119"/>
      <c r="I52" s="119"/>
      <c r="J52" s="119"/>
      <c r="K52" s="119"/>
      <c r="L52" s="119"/>
      <c r="M52" s="119"/>
    </row>
    <row r="53" spans="1:18" ht="16.5" customHeight="1" x14ac:dyDescent="0.25">
      <c r="A53" s="1688" t="s">
        <v>6</v>
      </c>
      <c r="B53" s="1688"/>
      <c r="C53" s="1688"/>
      <c r="D53" s="119"/>
      <c r="E53" s="119"/>
      <c r="F53" s="119"/>
      <c r="G53" s="119"/>
      <c r="H53" s="119"/>
      <c r="I53" s="119"/>
      <c r="J53" s="119"/>
      <c r="K53" s="119"/>
      <c r="L53" s="119"/>
    </row>
    <row r="54" spans="1:18" x14ac:dyDescent="0.25">
      <c r="A54" s="119"/>
      <c r="B54" s="119"/>
      <c r="C54" s="119"/>
      <c r="D54" s="119"/>
      <c r="E54" s="119"/>
      <c r="F54" s="119"/>
      <c r="G54" s="119"/>
      <c r="H54" s="119"/>
      <c r="I54" s="119"/>
      <c r="J54" s="119"/>
      <c r="K54" s="119"/>
      <c r="L54" s="119"/>
    </row>
    <row r="55" spans="1:18" ht="19.5" customHeight="1" x14ac:dyDescent="0.25">
      <c r="A55" s="119"/>
      <c r="B55" s="1771" t="s">
        <v>2508</v>
      </c>
      <c r="C55" s="1772"/>
      <c r="D55" s="1772"/>
      <c r="E55" s="1772"/>
      <c r="F55" s="1772"/>
      <c r="G55" s="1772"/>
      <c r="H55" s="1772"/>
      <c r="I55" s="115"/>
      <c r="J55" s="119"/>
      <c r="K55" s="119"/>
      <c r="L55" s="119"/>
    </row>
    <row r="56" spans="1:18" ht="19.5" customHeight="1" x14ac:dyDescent="0.25">
      <c r="A56" s="119"/>
      <c r="B56" s="1772"/>
      <c r="C56" s="1772"/>
      <c r="D56" s="1772"/>
      <c r="E56" s="1772"/>
      <c r="F56" s="1772"/>
      <c r="G56" s="1772"/>
      <c r="H56" s="1772"/>
      <c r="I56" s="115"/>
      <c r="J56" s="119"/>
      <c r="K56" s="119"/>
      <c r="L56" s="119"/>
    </row>
    <row r="57" spans="1:18" ht="4.5" customHeight="1" x14ac:dyDescent="0.25">
      <c r="A57" s="119"/>
      <c r="B57" s="119"/>
      <c r="C57" s="119"/>
      <c r="D57" s="119"/>
      <c r="E57" s="119"/>
      <c r="F57" s="119"/>
      <c r="G57" s="119"/>
      <c r="H57" s="119"/>
      <c r="I57" s="119"/>
      <c r="J57" s="119"/>
      <c r="K57" s="672"/>
      <c r="L57" s="119"/>
    </row>
    <row r="58" spans="1:18" ht="21" customHeight="1" x14ac:dyDescent="0.25">
      <c r="A58" s="119"/>
      <c r="B58" s="1813" t="s">
        <v>2499</v>
      </c>
      <c r="C58" s="1813"/>
      <c r="D58" s="1273" t="s">
        <v>651</v>
      </c>
      <c r="E58" s="1267" t="s">
        <v>652</v>
      </c>
      <c r="F58" s="1267" t="s">
        <v>653</v>
      </c>
      <c r="G58" s="1267" t="s">
        <v>655</v>
      </c>
      <c r="H58" s="1267" t="s">
        <v>1442</v>
      </c>
      <c r="I58" s="119"/>
      <c r="J58" s="119"/>
      <c r="K58" s="119"/>
      <c r="L58" s="119"/>
      <c r="M58" s="119"/>
    </row>
    <row r="59" spans="1:18" ht="21" customHeight="1" x14ac:dyDescent="0.25">
      <c r="A59" s="119"/>
      <c r="B59" s="1786" t="s">
        <v>650</v>
      </c>
      <c r="C59" s="1787"/>
      <c r="D59" s="479" t="s">
        <v>53</v>
      </c>
      <c r="E59" s="479" t="s">
        <v>53</v>
      </c>
      <c r="F59" s="479" t="s">
        <v>53</v>
      </c>
      <c r="G59" s="479" t="s">
        <v>53</v>
      </c>
      <c r="H59" s="479" t="s">
        <v>53</v>
      </c>
      <c r="I59" s="119"/>
      <c r="J59" s="119"/>
      <c r="K59" s="119"/>
      <c r="L59" s="119"/>
      <c r="M59" s="119"/>
      <c r="N59" s="35">
        <f>IFERROR(VLOOKUP(D59,$M$40:$N$51,2,FALSE),0)</f>
        <v>0</v>
      </c>
      <c r="O59" s="35">
        <f>IFERROR(VLOOKUP(E59,$M$40:$N$51,2,FALSE),0)</f>
        <v>0</v>
      </c>
      <c r="P59" s="35">
        <f>IFERROR(VLOOKUP(F59,$M$40:$N$51,2,FALSE),0)</f>
        <v>0</v>
      </c>
      <c r="Q59" s="35">
        <f>IFERROR(VLOOKUP(G59,$M$40:$N$51,2,FALSE),0)</f>
        <v>0</v>
      </c>
      <c r="R59" s="35">
        <f>IFERROR(VLOOKUP(H59,$M$40:$N$51,2,FALSE),0)</f>
        <v>0</v>
      </c>
    </row>
    <row r="60" spans="1:18" ht="21" customHeight="1" x14ac:dyDescent="0.25">
      <c r="A60" s="119"/>
      <c r="B60" s="1786" t="s">
        <v>2498</v>
      </c>
      <c r="C60" s="1787"/>
      <c r="D60" s="1292" t="str">
        <f>IF(N59=0,"",N59)</f>
        <v/>
      </c>
      <c r="E60" s="1292" t="str">
        <f>IF(O59=0,"",O59)</f>
        <v/>
      </c>
      <c r="F60" s="1292" t="str">
        <f>IF(P59=0,"",P59)</f>
        <v/>
      </c>
      <c r="G60" s="1292" t="str">
        <f>IF(Q59=0,"",Q59)</f>
        <v/>
      </c>
      <c r="H60" s="1292" t="str">
        <f>IF(R59=0,"",R59)</f>
        <v/>
      </c>
      <c r="I60" s="119"/>
      <c r="J60" s="119"/>
      <c r="K60" s="119"/>
      <c r="L60" s="119"/>
      <c r="M60" s="119"/>
    </row>
    <row r="61" spans="1:18" ht="21" customHeight="1" x14ac:dyDescent="0.25">
      <c r="A61" s="119"/>
      <c r="B61" s="1786" t="s">
        <v>654</v>
      </c>
      <c r="C61" s="1787"/>
      <c r="D61" s="479"/>
      <c r="E61" s="479"/>
      <c r="F61" s="479"/>
      <c r="G61" s="479"/>
      <c r="H61" s="479"/>
      <c r="I61" s="119"/>
      <c r="J61" s="119"/>
      <c r="K61" s="119"/>
      <c r="L61" s="119"/>
      <c r="M61" s="119"/>
    </row>
    <row r="62" spans="1:18" x14ac:dyDescent="0.25">
      <c r="A62" s="119"/>
      <c r="B62" s="119"/>
      <c r="C62" s="119"/>
      <c r="D62" s="119"/>
      <c r="E62" s="119"/>
      <c r="F62" s="119"/>
      <c r="G62" s="119"/>
      <c r="H62" s="119"/>
      <c r="I62" s="119"/>
      <c r="J62" s="119"/>
      <c r="K62" s="119"/>
      <c r="L62" s="119"/>
    </row>
    <row r="63" spans="1:18" ht="27" customHeight="1" x14ac:dyDescent="0.25">
      <c r="A63" s="119"/>
      <c r="B63" s="1817" t="s">
        <v>2507</v>
      </c>
      <c r="C63" s="1817"/>
      <c r="D63" s="1817"/>
      <c r="E63" s="1817"/>
      <c r="F63" s="1817"/>
      <c r="G63" s="1817"/>
      <c r="H63" s="1817"/>
      <c r="I63" s="1817"/>
      <c r="J63" s="119"/>
      <c r="K63" s="119"/>
      <c r="L63" s="119"/>
    </row>
    <row r="64" spans="1:18" ht="8.25" customHeight="1" x14ac:dyDescent="0.25">
      <c r="A64" s="119"/>
      <c r="B64" s="1274"/>
      <c r="C64" s="1274"/>
      <c r="D64" s="1274"/>
      <c r="E64" s="1274"/>
      <c r="F64" s="1274"/>
      <c r="G64" s="1274"/>
      <c r="H64" s="1274"/>
      <c r="I64" s="119"/>
      <c r="J64" s="119"/>
      <c r="K64" s="119"/>
      <c r="L64" s="119"/>
    </row>
    <row r="65" spans="1:20" ht="22.5" customHeight="1" x14ac:dyDescent="0.25">
      <c r="A65" s="119"/>
      <c r="B65" s="1758" t="s">
        <v>2505</v>
      </c>
      <c r="C65" s="1758"/>
      <c r="D65" s="1758"/>
      <c r="E65" s="1758"/>
      <c r="F65" s="1758"/>
      <c r="G65" s="1758"/>
      <c r="H65" s="1758"/>
      <c r="I65" s="1758"/>
      <c r="J65" s="1758"/>
      <c r="K65" s="119"/>
      <c r="L65" s="119"/>
    </row>
    <row r="66" spans="1:20" ht="22.5" customHeight="1" x14ac:dyDescent="0.25">
      <c r="A66" s="119"/>
      <c r="B66" s="1758"/>
      <c r="C66" s="1758"/>
      <c r="D66" s="1758"/>
      <c r="E66" s="1758"/>
      <c r="F66" s="1758"/>
      <c r="G66" s="1758"/>
      <c r="H66" s="1758"/>
      <c r="I66" s="1758"/>
      <c r="J66" s="1758"/>
      <c r="K66" s="119"/>
      <c r="L66" s="119"/>
    </row>
    <row r="67" spans="1:20" ht="7.5" customHeight="1" x14ac:dyDescent="0.25">
      <c r="A67" s="119"/>
      <c r="B67" s="1274"/>
      <c r="C67" s="1274"/>
      <c r="D67" s="1274"/>
      <c r="E67" s="1274"/>
      <c r="F67" s="1274"/>
      <c r="G67" s="1274"/>
      <c r="H67" s="1274"/>
      <c r="I67" s="119"/>
      <c r="J67" s="119"/>
      <c r="K67" s="119"/>
      <c r="L67" s="119"/>
    </row>
    <row r="68" spans="1:20" ht="20.25" customHeight="1" x14ac:dyDescent="0.25">
      <c r="A68" s="119"/>
      <c r="B68" s="1726" t="s">
        <v>2509</v>
      </c>
      <c r="C68" s="1726"/>
      <c r="D68" s="1726"/>
      <c r="E68" s="1634" t="s">
        <v>53</v>
      </c>
      <c r="F68" s="1634"/>
      <c r="G68" s="1274"/>
      <c r="H68" s="1274"/>
      <c r="I68" s="119"/>
      <c r="J68" s="119"/>
      <c r="K68" s="119"/>
      <c r="L68" s="119"/>
    </row>
    <row r="69" spans="1:20" ht="12" customHeight="1" x14ac:dyDescent="0.25">
      <c r="A69" s="119"/>
      <c r="B69" s="1274"/>
      <c r="C69" s="1274"/>
      <c r="D69" s="1274"/>
      <c r="E69" s="1274"/>
      <c r="F69" s="1274"/>
      <c r="G69" s="1274"/>
      <c r="H69" s="1274"/>
      <c r="I69" s="119"/>
      <c r="J69" s="119"/>
      <c r="K69" s="119"/>
      <c r="L69" s="119"/>
    </row>
    <row r="70" spans="1:20" ht="21" customHeight="1" x14ac:dyDescent="0.25">
      <c r="A70" s="119"/>
      <c r="B70" s="1813" t="s">
        <v>2500</v>
      </c>
      <c r="C70" s="1813"/>
      <c r="D70" s="1273" t="s">
        <v>651</v>
      </c>
      <c r="E70" s="1267" t="s">
        <v>652</v>
      </c>
      <c r="F70" s="1267" t="s">
        <v>653</v>
      </c>
      <c r="G70" s="1267" t="s">
        <v>655</v>
      </c>
      <c r="H70" s="1267" t="s">
        <v>1442</v>
      </c>
      <c r="I70" s="1267" t="s">
        <v>2501</v>
      </c>
      <c r="J70" s="1267" t="s">
        <v>2506</v>
      </c>
      <c r="K70" s="119"/>
      <c r="L70" s="119"/>
    </row>
    <row r="71" spans="1:20" ht="21" customHeight="1" x14ac:dyDescent="0.25">
      <c r="A71" s="119"/>
      <c r="B71" s="1786" t="s">
        <v>650</v>
      </c>
      <c r="C71" s="1787"/>
      <c r="D71" s="479"/>
      <c r="E71" s="479"/>
      <c r="F71" s="479"/>
      <c r="G71" s="479"/>
      <c r="H71" s="479"/>
      <c r="I71" s="479"/>
      <c r="J71" s="479"/>
      <c r="K71" s="119"/>
      <c r="L71" s="119"/>
    </row>
    <row r="72" spans="1:20" ht="21" customHeight="1" x14ac:dyDescent="0.25">
      <c r="A72" s="119"/>
      <c r="B72" s="1786" t="s">
        <v>2498</v>
      </c>
      <c r="C72" s="1787"/>
      <c r="D72" s="479"/>
      <c r="E72" s="479"/>
      <c r="F72" s="479"/>
      <c r="G72" s="479"/>
      <c r="H72" s="479"/>
      <c r="I72" s="479"/>
      <c r="J72" s="479"/>
      <c r="K72" s="119"/>
      <c r="L72" s="119"/>
      <c r="N72" s="35" t="str">
        <f>IF(AND(D71&lt;&gt;"",$E$68&lt;&gt;"Select"),D72,"N/A")</f>
        <v>N/A</v>
      </c>
      <c r="O72" s="35" t="str">
        <f t="shared" ref="O72:T72" si="3">IF(AND(E71&lt;&gt;"",$E$68&lt;&gt;"Select"),E72,"N/A")</f>
        <v>N/A</v>
      </c>
      <c r="P72" s="35" t="str">
        <f t="shared" si="3"/>
        <v>N/A</v>
      </c>
      <c r="Q72" s="35" t="str">
        <f t="shared" si="3"/>
        <v>N/A</v>
      </c>
      <c r="R72" s="35" t="str">
        <f t="shared" si="3"/>
        <v>N/A</v>
      </c>
      <c r="S72" s="35" t="str">
        <f t="shared" si="3"/>
        <v>N/A</v>
      </c>
      <c r="T72" s="35" t="str">
        <f t="shared" si="3"/>
        <v>N/A</v>
      </c>
    </row>
    <row r="73" spans="1:20" ht="21" customHeight="1" x14ac:dyDescent="0.25">
      <c r="A73" s="119"/>
      <c r="B73" s="1786" t="s">
        <v>654</v>
      </c>
      <c r="C73" s="1787"/>
      <c r="D73" s="479"/>
      <c r="E73" s="479"/>
      <c r="F73" s="479"/>
      <c r="G73" s="479"/>
      <c r="H73" s="479"/>
      <c r="I73" s="479"/>
      <c r="J73" s="479"/>
      <c r="K73" s="119"/>
      <c r="L73" s="119"/>
    </row>
    <row r="74" spans="1:20" ht="18" customHeight="1" x14ac:dyDescent="0.25">
      <c r="A74" s="119"/>
      <c r="B74" s="119"/>
      <c r="C74" s="119"/>
      <c r="D74" s="119"/>
      <c r="E74" s="119"/>
      <c r="F74" s="119"/>
      <c r="G74" s="119"/>
      <c r="H74" s="119"/>
      <c r="I74" s="119"/>
      <c r="J74" s="119"/>
      <c r="K74" s="119"/>
      <c r="L74" s="119"/>
    </row>
    <row r="75" spans="1:20" x14ac:dyDescent="0.25">
      <c r="A75" s="119"/>
      <c r="B75" s="937" t="s">
        <v>2496</v>
      </c>
      <c r="C75" s="119"/>
      <c r="D75" s="119"/>
      <c r="E75" s="119"/>
      <c r="F75" s="119"/>
      <c r="G75" s="119"/>
      <c r="H75" s="119"/>
      <c r="I75" s="119"/>
      <c r="J75" s="119"/>
      <c r="K75" s="119"/>
      <c r="L75" s="119"/>
    </row>
    <row r="76" spans="1:20" ht="11.25" customHeight="1" x14ac:dyDescent="0.25">
      <c r="A76" s="119"/>
      <c r="B76" s="119"/>
      <c r="C76" s="119"/>
      <c r="D76" s="119"/>
      <c r="E76" s="119"/>
      <c r="F76" s="119"/>
      <c r="G76" s="119"/>
      <c r="H76" s="119"/>
      <c r="I76" s="119"/>
      <c r="J76" s="119"/>
      <c r="K76" s="119"/>
      <c r="L76" s="119"/>
    </row>
    <row r="77" spans="1:20" ht="13.5" customHeight="1" x14ac:dyDescent="0.25">
      <c r="A77" s="119"/>
      <c r="B77" s="1758" t="s">
        <v>2495</v>
      </c>
      <c r="C77" s="1759"/>
      <c r="D77" s="1759"/>
      <c r="E77" s="1759"/>
      <c r="F77" s="1759"/>
      <c r="G77" s="1759"/>
      <c r="H77" s="1759"/>
      <c r="I77" s="119"/>
      <c r="J77" s="119"/>
      <c r="K77" s="119"/>
      <c r="L77" s="119"/>
    </row>
    <row r="78" spans="1:20" ht="13.5" customHeight="1" x14ac:dyDescent="0.25">
      <c r="A78" s="119"/>
      <c r="B78" s="1759"/>
      <c r="C78" s="1759"/>
      <c r="D78" s="1759"/>
      <c r="E78" s="1759"/>
      <c r="F78" s="1759"/>
      <c r="G78" s="1759"/>
      <c r="H78" s="1759"/>
      <c r="I78" s="119"/>
      <c r="J78" s="119"/>
      <c r="K78" s="119"/>
      <c r="L78" s="119"/>
    </row>
    <row r="79" spans="1:20" ht="8.25" customHeight="1" x14ac:dyDescent="0.25">
      <c r="A79" s="119"/>
      <c r="B79" s="1158"/>
      <c r="C79" s="1158"/>
      <c r="D79" s="1158"/>
      <c r="E79" s="1158"/>
      <c r="F79" s="1158"/>
      <c r="G79" s="1158"/>
      <c r="H79" s="1158"/>
      <c r="I79" s="119"/>
      <c r="J79" s="119"/>
      <c r="K79" s="119"/>
      <c r="L79" s="119"/>
    </row>
    <row r="80" spans="1:20" ht="20.25" customHeight="1" x14ac:dyDescent="0.25">
      <c r="A80" s="119"/>
      <c r="B80" s="461" t="s">
        <v>98</v>
      </c>
      <c r="C80" s="458" t="s">
        <v>7</v>
      </c>
      <c r="D80" s="458" t="s">
        <v>8</v>
      </c>
      <c r="E80" s="458" t="s">
        <v>9</v>
      </c>
      <c r="F80" s="459" t="s">
        <v>10</v>
      </c>
      <c r="G80" s="458" t="s">
        <v>11</v>
      </c>
      <c r="H80" s="1665" t="s">
        <v>12</v>
      </c>
      <c r="I80" s="1665"/>
      <c r="J80" s="119"/>
      <c r="K80" s="119"/>
      <c r="L80" s="119"/>
      <c r="M80" s="45"/>
    </row>
    <row r="81" spans="1:13" x14ac:dyDescent="0.25">
      <c r="A81" s="119"/>
      <c r="B81" s="97"/>
      <c r="C81" s="457"/>
      <c r="D81" s="97"/>
      <c r="E81" s="97"/>
      <c r="F81" s="97"/>
      <c r="G81" s="54" t="str">
        <f>IF(OR(E81="",B81="",D81=""),"",D81*E81+F81)</f>
        <v/>
      </c>
      <c r="H81" s="1689"/>
      <c r="I81" s="1690"/>
      <c r="J81" s="119"/>
      <c r="K81" s="119"/>
      <c r="L81" s="119"/>
      <c r="M81" s="45"/>
    </row>
    <row r="82" spans="1:13" x14ac:dyDescent="0.25">
      <c r="A82" s="119"/>
      <c r="B82" s="97"/>
      <c r="C82" s="457"/>
      <c r="D82" s="97"/>
      <c r="E82" s="97"/>
      <c r="F82" s="97"/>
      <c r="G82" s="54" t="str">
        <f t="shared" ref="G82:G95" si="4">IF(OR(E82="",B82=""),"",D82*E82+F82)</f>
        <v/>
      </c>
      <c r="H82" s="1689"/>
      <c r="I82" s="1690"/>
      <c r="J82" s="119"/>
      <c r="K82" s="119"/>
      <c r="L82" s="119"/>
      <c r="M82" s="45"/>
    </row>
    <row r="83" spans="1:13" x14ac:dyDescent="0.25">
      <c r="A83" s="119"/>
      <c r="B83" s="97"/>
      <c r="C83" s="457"/>
      <c r="D83" s="97"/>
      <c r="E83" s="97"/>
      <c r="F83" s="97"/>
      <c r="G83" s="54" t="str">
        <f t="shared" si="4"/>
        <v/>
      </c>
      <c r="H83" s="1689"/>
      <c r="I83" s="1690"/>
      <c r="J83" s="119"/>
      <c r="K83" s="119"/>
      <c r="L83" s="119"/>
      <c r="M83" s="45"/>
    </row>
    <row r="84" spans="1:13" x14ac:dyDescent="0.25">
      <c r="A84" s="119"/>
      <c r="B84" s="97"/>
      <c r="C84" s="457"/>
      <c r="D84" s="97"/>
      <c r="E84" s="97"/>
      <c r="F84" s="97"/>
      <c r="G84" s="54" t="str">
        <f t="shared" si="4"/>
        <v/>
      </c>
      <c r="H84" s="1689"/>
      <c r="I84" s="1690"/>
      <c r="J84" s="119"/>
      <c r="K84" s="119"/>
      <c r="L84" s="119"/>
      <c r="M84" s="45"/>
    </row>
    <row r="85" spans="1:13" x14ac:dyDescent="0.25">
      <c r="A85" s="119"/>
      <c r="B85" s="97"/>
      <c r="C85" s="457"/>
      <c r="D85" s="97"/>
      <c r="E85" s="97"/>
      <c r="F85" s="97"/>
      <c r="G85" s="54" t="str">
        <f t="shared" si="4"/>
        <v/>
      </c>
      <c r="H85" s="1689"/>
      <c r="I85" s="1690"/>
      <c r="J85" s="119"/>
      <c r="K85" s="119"/>
      <c r="L85" s="119"/>
      <c r="M85" s="45"/>
    </row>
    <row r="86" spans="1:13" x14ac:dyDescent="0.25">
      <c r="A86" s="119"/>
      <c r="B86" s="97"/>
      <c r="C86" s="457"/>
      <c r="D86" s="97"/>
      <c r="E86" s="97"/>
      <c r="F86" s="97"/>
      <c r="G86" s="54" t="str">
        <f t="shared" si="4"/>
        <v/>
      </c>
      <c r="H86" s="1689"/>
      <c r="I86" s="1690"/>
      <c r="J86" s="119"/>
      <c r="K86" s="119"/>
      <c r="L86" s="119"/>
      <c r="M86" s="45"/>
    </row>
    <row r="87" spans="1:13" x14ac:dyDescent="0.25">
      <c r="A87" s="119"/>
      <c r="B87" s="97"/>
      <c r="C87" s="457"/>
      <c r="D87" s="97"/>
      <c r="E87" s="97"/>
      <c r="F87" s="97"/>
      <c r="G87" s="54" t="str">
        <f t="shared" si="4"/>
        <v/>
      </c>
      <c r="H87" s="1689"/>
      <c r="I87" s="1690"/>
      <c r="J87" s="119"/>
      <c r="K87" s="119"/>
      <c r="L87" s="119"/>
      <c r="M87" s="45"/>
    </row>
    <row r="88" spans="1:13" x14ac:dyDescent="0.25">
      <c r="A88" s="119"/>
      <c r="B88" s="97"/>
      <c r="C88" s="457"/>
      <c r="D88" s="97"/>
      <c r="E88" s="97"/>
      <c r="F88" s="97"/>
      <c r="G88" s="54" t="str">
        <f t="shared" si="4"/>
        <v/>
      </c>
      <c r="H88" s="1689"/>
      <c r="I88" s="1690"/>
      <c r="J88" s="119"/>
      <c r="K88" s="119"/>
      <c r="L88" s="119"/>
      <c r="M88" s="45"/>
    </row>
    <row r="89" spans="1:13" x14ac:dyDescent="0.25">
      <c r="A89" s="119"/>
      <c r="B89" s="97"/>
      <c r="C89" s="457"/>
      <c r="D89" s="97"/>
      <c r="E89" s="97"/>
      <c r="F89" s="97"/>
      <c r="G89" s="54" t="str">
        <f t="shared" si="4"/>
        <v/>
      </c>
      <c r="H89" s="1689"/>
      <c r="I89" s="1690"/>
      <c r="J89" s="119"/>
      <c r="K89" s="119"/>
      <c r="L89" s="119"/>
      <c r="M89" s="45"/>
    </row>
    <row r="90" spans="1:13" x14ac:dyDescent="0.25">
      <c r="A90" s="119"/>
      <c r="B90" s="97"/>
      <c r="C90" s="457"/>
      <c r="D90" s="97"/>
      <c r="E90" s="97"/>
      <c r="F90" s="97"/>
      <c r="G90" s="54" t="str">
        <f t="shared" si="4"/>
        <v/>
      </c>
      <c r="H90" s="1689"/>
      <c r="I90" s="1690"/>
      <c r="J90" s="119"/>
      <c r="K90" s="119"/>
      <c r="L90" s="119"/>
      <c r="M90" s="45"/>
    </row>
    <row r="91" spans="1:13" x14ac:dyDescent="0.25">
      <c r="A91" s="119"/>
      <c r="B91" s="97"/>
      <c r="C91" s="457"/>
      <c r="D91" s="97"/>
      <c r="E91" s="97"/>
      <c r="F91" s="97"/>
      <c r="G91" s="54" t="str">
        <f t="shared" si="4"/>
        <v/>
      </c>
      <c r="H91" s="1689"/>
      <c r="I91" s="1690"/>
      <c r="J91" s="119"/>
      <c r="K91" s="119"/>
      <c r="L91" s="119"/>
      <c r="M91" s="45"/>
    </row>
    <row r="92" spans="1:13" x14ac:dyDescent="0.25">
      <c r="A92" s="119"/>
      <c r="B92" s="97"/>
      <c r="C92" s="457"/>
      <c r="D92" s="97"/>
      <c r="E92" s="97"/>
      <c r="F92" s="97"/>
      <c r="G92" s="54" t="str">
        <f t="shared" si="4"/>
        <v/>
      </c>
      <c r="H92" s="1689"/>
      <c r="I92" s="1690"/>
      <c r="J92" s="119"/>
      <c r="K92" s="119"/>
      <c r="L92" s="119"/>
      <c r="M92" s="45"/>
    </row>
    <row r="93" spans="1:13" x14ac:dyDescent="0.25">
      <c r="A93" s="119"/>
      <c r="B93" s="97"/>
      <c r="C93" s="457"/>
      <c r="D93" s="97"/>
      <c r="E93" s="97"/>
      <c r="F93" s="97"/>
      <c r="G93" s="54" t="str">
        <f t="shared" si="4"/>
        <v/>
      </c>
      <c r="H93" s="1689"/>
      <c r="I93" s="1690"/>
      <c r="J93" s="119"/>
      <c r="K93" s="119"/>
      <c r="L93" s="119"/>
      <c r="M93" s="45"/>
    </row>
    <row r="94" spans="1:13" x14ac:dyDescent="0.25">
      <c r="A94" s="119"/>
      <c r="B94" s="97"/>
      <c r="C94" s="457"/>
      <c r="D94" s="97"/>
      <c r="E94" s="97"/>
      <c r="F94" s="97"/>
      <c r="G94" s="54" t="str">
        <f t="shared" si="4"/>
        <v/>
      </c>
      <c r="H94" s="1689"/>
      <c r="I94" s="1690"/>
      <c r="J94" s="119"/>
      <c r="K94" s="119"/>
      <c r="L94" s="119"/>
      <c r="M94" s="45"/>
    </row>
    <row r="95" spans="1:13" x14ac:dyDescent="0.25">
      <c r="A95" s="119"/>
      <c r="B95" s="97"/>
      <c r="C95" s="457"/>
      <c r="D95" s="97"/>
      <c r="E95" s="97"/>
      <c r="F95" s="97"/>
      <c r="G95" s="54" t="str">
        <f t="shared" si="4"/>
        <v/>
      </c>
      <c r="H95" s="1689"/>
      <c r="I95" s="1690"/>
      <c r="J95" s="119"/>
      <c r="K95" s="119"/>
      <c r="L95" s="119"/>
      <c r="M95" s="45"/>
    </row>
    <row r="96" spans="1:13" x14ac:dyDescent="0.25">
      <c r="A96" s="119"/>
      <c r="B96" s="119"/>
      <c r="C96" s="119"/>
      <c r="D96" s="119"/>
      <c r="E96" s="119"/>
      <c r="F96" s="119"/>
      <c r="G96" s="119"/>
      <c r="H96" s="119"/>
      <c r="I96" s="119"/>
      <c r="J96" s="119"/>
      <c r="K96" s="119"/>
      <c r="L96" s="119"/>
      <c r="M96" s="45"/>
    </row>
    <row r="97" spans="1:13" ht="18" customHeight="1" x14ac:dyDescent="0.25">
      <c r="A97" s="119"/>
      <c r="B97" s="1631" t="s">
        <v>656</v>
      </c>
      <c r="C97" s="1632"/>
      <c r="D97" s="1633"/>
      <c r="E97" s="121" t="str">
        <f>IFERROR(IF(SUM(G81:G95)=0,"",SUM(G81:G95)/SUM(D61:H61,D73:J73)),"")</f>
        <v/>
      </c>
      <c r="F97" s="119"/>
      <c r="G97" s="119"/>
      <c r="H97" s="119"/>
      <c r="I97" s="119"/>
      <c r="J97" s="119"/>
      <c r="K97" s="119"/>
      <c r="L97" s="119"/>
    </row>
    <row r="98" spans="1:13" ht="18" customHeight="1" x14ac:dyDescent="0.25">
      <c r="A98" s="119"/>
      <c r="B98" s="1631" t="s">
        <v>2497</v>
      </c>
      <c r="C98" s="1632"/>
      <c r="D98" s="1633"/>
      <c r="E98" s="121" t="str">
        <f>IFERROR((SUMPRODUCT(N59:R59,D61:H61)+SUMPRODUCT(N72:T72,D73:J73))/SUM(D73:J73,D61:H61),"")</f>
        <v/>
      </c>
      <c r="F98" s="119"/>
      <c r="G98" s="119"/>
      <c r="H98" s="119"/>
      <c r="I98" s="119"/>
      <c r="J98" s="119"/>
      <c r="K98" s="119"/>
      <c r="L98" s="119"/>
    </row>
    <row r="99" spans="1:13" ht="18" customHeight="1" x14ac:dyDescent="0.25">
      <c r="A99" s="119"/>
      <c r="B99" s="1631" t="s">
        <v>657</v>
      </c>
      <c r="C99" s="1632"/>
      <c r="D99" s="1633"/>
      <c r="E99" s="480" t="str">
        <f>IFERROR(1-E97/E98,"")</f>
        <v/>
      </c>
      <c r="F99" s="1329" t="str">
        <f>IFERROR(IF(AND(E99&lt;&gt;"",E99&gt;0.75),"→ One EP-1 point can be targeted",""),"")</f>
        <v/>
      </c>
      <c r="G99" s="119"/>
      <c r="H99" s="119"/>
      <c r="I99" s="119"/>
      <c r="J99" s="119"/>
      <c r="K99" s="119"/>
      <c r="L99" s="119"/>
    </row>
    <row r="100" spans="1:13" ht="18" customHeight="1" x14ac:dyDescent="0.25">
      <c r="A100" s="119"/>
      <c r="B100" s="119"/>
      <c r="C100" s="119"/>
      <c r="D100" s="119"/>
      <c r="E100" s="119"/>
      <c r="F100" s="119"/>
      <c r="G100" s="119"/>
      <c r="H100" s="119"/>
      <c r="I100" s="119"/>
      <c r="J100" s="119"/>
      <c r="K100" s="119"/>
      <c r="L100" s="119"/>
    </row>
    <row r="101" spans="1:13" ht="16.5" customHeight="1" x14ac:dyDescent="0.25">
      <c r="A101" s="1688" t="s">
        <v>84</v>
      </c>
      <c r="B101" s="1688"/>
      <c r="C101" s="1688"/>
      <c r="D101" s="119"/>
      <c r="E101" s="119"/>
      <c r="F101" s="119"/>
      <c r="G101" s="119"/>
      <c r="H101" s="119"/>
      <c r="I101" s="119"/>
      <c r="J101" s="119"/>
      <c r="K101" s="119"/>
      <c r="L101" s="119"/>
    </row>
    <row r="102" spans="1:13" x14ac:dyDescent="0.25">
      <c r="A102" s="119"/>
      <c r="B102" s="119"/>
      <c r="C102" s="119"/>
      <c r="D102" s="119"/>
      <c r="E102" s="119"/>
      <c r="F102" s="119"/>
      <c r="G102" s="119"/>
      <c r="H102" s="119"/>
      <c r="I102" s="119"/>
      <c r="J102" s="119"/>
      <c r="K102" s="119"/>
      <c r="L102" s="119"/>
    </row>
    <row r="103" spans="1:13" ht="21" customHeight="1" x14ac:dyDescent="0.25">
      <c r="A103" s="115"/>
      <c r="B103" s="1641" t="s">
        <v>85</v>
      </c>
      <c r="C103" s="1642"/>
      <c r="D103" s="1642"/>
      <c r="E103" s="1642"/>
      <c r="F103" s="1642"/>
      <c r="G103" s="603" t="s">
        <v>907</v>
      </c>
      <c r="H103" s="1638" t="s">
        <v>908</v>
      </c>
      <c r="I103" s="1639"/>
      <c r="J103" s="119"/>
      <c r="K103" s="119"/>
      <c r="L103" s="119"/>
    </row>
    <row r="104" spans="1:13" ht="24" customHeight="1" x14ac:dyDescent="0.25">
      <c r="A104" s="115"/>
      <c r="B104" s="1648" t="str">
        <f>Submittals!G27</f>
        <v>• As-installed interior lighting drawings</v>
      </c>
      <c r="C104" s="1649"/>
      <c r="D104" s="1649"/>
      <c r="E104" s="1649"/>
      <c r="F104" s="1650"/>
      <c r="G104" s="833" t="s">
        <v>53</v>
      </c>
      <c r="H104" s="1689"/>
      <c r="I104" s="1736"/>
      <c r="J104" s="119"/>
      <c r="K104" s="119"/>
      <c r="L104" s="119"/>
      <c r="M104" s="35" t="str">
        <f>IF(OR(B104="/",B104="No evidence required at this submission stage"),"Yes",IF(G104="Submitted","Yes","No"))</f>
        <v>No</v>
      </c>
    </row>
    <row r="105" spans="1:13" ht="24" customHeight="1" x14ac:dyDescent="0.25">
      <c r="A105" s="115"/>
      <c r="B105" s="1648" t="str">
        <f>Submittals!G28</f>
        <v>• Manufacturer’s published data of all lamps and ballasts used in the interior of the building</v>
      </c>
      <c r="C105" s="1649"/>
      <c r="D105" s="1649"/>
      <c r="E105" s="1649"/>
      <c r="F105" s="1650"/>
      <c r="G105" s="1162" t="s">
        <v>53</v>
      </c>
      <c r="H105" s="1689"/>
      <c r="I105" s="1736"/>
      <c r="J105" s="119"/>
      <c r="K105" s="119"/>
      <c r="L105" s="119"/>
      <c r="M105" s="35" t="str">
        <f>IF(OR(B105="/",B105="No evidence required at this submission stage"),"Yes",IF(G105="Submitted","Yes","No"))</f>
        <v>No</v>
      </c>
    </row>
    <row r="106" spans="1:13" ht="24" customHeight="1" x14ac:dyDescent="0.25">
      <c r="A106" s="115"/>
      <c r="B106" s="1648" t="str">
        <f>Submittals!G29</f>
        <v>• Evidence of the lighting fixtures installed such as photographs, invoices, receipts, etc.</v>
      </c>
      <c r="C106" s="1649"/>
      <c r="D106" s="1649"/>
      <c r="E106" s="1649"/>
      <c r="F106" s="1650"/>
      <c r="G106" s="833" t="s">
        <v>53</v>
      </c>
      <c r="H106" s="1689"/>
      <c r="I106" s="1736"/>
      <c r="J106" s="119"/>
      <c r="K106" s="119"/>
      <c r="L106" s="119"/>
      <c r="M106" s="35" t="str">
        <f>IF(OR(B106="/",B106="No evidence required at this submission stage"),"Yes",IF(G106="Submitted","Yes","No"))</f>
        <v>No</v>
      </c>
    </row>
    <row r="107" spans="1:13" ht="16.5" customHeight="1" x14ac:dyDescent="0.25">
      <c r="A107" s="119"/>
      <c r="B107" s="119"/>
      <c r="C107" s="119"/>
      <c r="D107" s="119"/>
      <c r="E107" s="119"/>
      <c r="F107" s="119"/>
      <c r="G107" s="119"/>
      <c r="H107" s="119"/>
      <c r="I107" s="119"/>
      <c r="J107" s="119"/>
      <c r="K107" s="119"/>
      <c r="L107" s="119"/>
    </row>
    <row r="108" spans="1:13" ht="16.5" customHeight="1" x14ac:dyDescent="0.25">
      <c r="A108" s="1688" t="s">
        <v>5</v>
      </c>
      <c r="B108" s="1688"/>
      <c r="C108" s="1688"/>
      <c r="D108" s="119"/>
      <c r="E108" s="119"/>
      <c r="F108" s="119"/>
      <c r="G108" s="119"/>
      <c r="H108" s="119"/>
      <c r="I108" s="119"/>
      <c r="J108" s="119"/>
      <c r="K108" s="119"/>
      <c r="L108" s="119"/>
    </row>
    <row r="109" spans="1:13" ht="17.25" customHeight="1" x14ac:dyDescent="0.25">
      <c r="A109" s="119"/>
      <c r="B109" s="119"/>
      <c r="C109" s="119"/>
      <c r="D109" s="119"/>
      <c r="E109" s="119"/>
      <c r="F109" s="119"/>
      <c r="G109" s="119"/>
      <c r="H109" s="119"/>
      <c r="I109" s="119"/>
      <c r="J109" s="119"/>
      <c r="K109" s="119"/>
      <c r="L109" s="119"/>
    </row>
    <row r="110" spans="1:13" ht="18" customHeight="1" x14ac:dyDescent="0.25">
      <c r="A110" s="119"/>
      <c r="B110" s="120" t="s">
        <v>16</v>
      </c>
      <c r="C110" s="8">
        <f>IF(E99="",0,IF(E99&gt;=0.6,4,IF(E99&gt;=0.45,3,IF(E99&gt;=0.3,2,IF(E99&gt;=0.15,1,0)))))</f>
        <v>0</v>
      </c>
      <c r="D110" s="119"/>
      <c r="E110" s="119"/>
      <c r="F110" s="119"/>
      <c r="G110" s="119"/>
      <c r="H110" s="119"/>
      <c r="I110" s="119"/>
      <c r="J110" s="119"/>
      <c r="K110" s="119"/>
      <c r="L110" s="119"/>
    </row>
    <row r="111" spans="1:13" ht="18" customHeight="1" x14ac:dyDescent="0.25">
      <c r="A111" s="119"/>
      <c r="B111" s="120" t="s">
        <v>133</v>
      </c>
      <c r="C111" s="8" t="str">
        <f>IF(AND(COUNTIF(M104:M106,"Yes")=3,C110&gt;0),"Yes","No")</f>
        <v>No</v>
      </c>
      <c r="D111" s="119"/>
      <c r="E111" s="119"/>
      <c r="F111" s="119"/>
      <c r="G111" s="119"/>
      <c r="H111" s="119"/>
      <c r="I111" s="119"/>
      <c r="J111" s="119"/>
      <c r="K111" s="119"/>
      <c r="L111" s="119"/>
    </row>
    <row r="112" spans="1:13" ht="21" customHeight="1" x14ac:dyDescent="0.25">
      <c r="A112" s="119"/>
      <c r="B112" s="119"/>
      <c r="C112" s="119"/>
      <c r="D112" s="119"/>
      <c r="E112" s="119"/>
      <c r="F112" s="119"/>
      <c r="G112" s="119"/>
      <c r="H112" s="119"/>
      <c r="I112" s="119"/>
      <c r="J112" s="119"/>
      <c r="K112" s="119"/>
      <c r="L112" s="119"/>
    </row>
    <row r="113" spans="1:12" ht="18" customHeight="1" x14ac:dyDescent="0.25">
      <c r="A113" s="1667" t="s">
        <v>2223</v>
      </c>
      <c r="B113" s="1667"/>
      <c r="C113" s="1667"/>
      <c r="D113" s="1667"/>
      <c r="E113" s="1667"/>
      <c r="F113" s="1667"/>
      <c r="G113" s="1667"/>
      <c r="H113" s="1667"/>
      <c r="I113" s="1667"/>
      <c r="J113" s="1667"/>
      <c r="K113" s="1667"/>
      <c r="L113" s="1667"/>
    </row>
    <row r="114" spans="1:12" ht="15" customHeight="1" x14ac:dyDescent="0.25">
      <c r="A114" s="46"/>
      <c r="B114" s="46"/>
      <c r="C114" s="46"/>
      <c r="D114" s="46"/>
      <c r="E114" s="46"/>
      <c r="F114" s="46"/>
      <c r="G114" s="46"/>
      <c r="H114" s="46"/>
      <c r="I114" s="46"/>
      <c r="J114" s="46"/>
      <c r="K114" s="46"/>
      <c r="L114" s="46"/>
    </row>
    <row r="115" spans="1:12" ht="16.5" customHeight="1" x14ac:dyDescent="0.25">
      <c r="A115" s="1688" t="s">
        <v>102</v>
      </c>
      <c r="B115" s="1688"/>
      <c r="C115" s="1688"/>
      <c r="D115" s="46"/>
      <c r="E115" s="46"/>
      <c r="F115" s="46"/>
      <c r="G115" s="46"/>
      <c r="H115" s="46"/>
      <c r="I115" s="46"/>
      <c r="J115" s="46"/>
      <c r="K115" s="46"/>
      <c r="L115" s="46"/>
    </row>
    <row r="116" spans="1:12" ht="12" customHeight="1" x14ac:dyDescent="0.25">
      <c r="A116" s="46"/>
      <c r="B116" s="46"/>
      <c r="C116" s="46"/>
      <c r="D116" s="46"/>
      <c r="E116" s="46"/>
      <c r="F116" s="46"/>
      <c r="G116" s="46"/>
      <c r="H116" s="46"/>
      <c r="I116" s="46"/>
      <c r="J116" s="46"/>
      <c r="K116" s="46"/>
      <c r="L116" s="46"/>
    </row>
    <row r="117" spans="1:12" x14ac:dyDescent="0.25">
      <c r="A117" s="46"/>
      <c r="B117" s="1276" t="s">
        <v>2239</v>
      </c>
      <c r="C117" s="46"/>
      <c r="D117" s="46"/>
      <c r="E117" s="46"/>
      <c r="F117" s="46"/>
      <c r="G117" s="46"/>
      <c r="H117" s="46"/>
      <c r="I117" s="46"/>
      <c r="J117" s="46"/>
      <c r="K117" s="46"/>
      <c r="L117" s="46"/>
    </row>
    <row r="118" spans="1:12" ht="16.5" customHeight="1" x14ac:dyDescent="0.25">
      <c r="A118" s="46"/>
      <c r="B118" s="46"/>
      <c r="C118" s="46"/>
      <c r="D118" s="46"/>
      <c r="E118" s="46"/>
      <c r="F118" s="46"/>
      <c r="G118" s="46"/>
      <c r="H118" s="46"/>
      <c r="I118" s="46"/>
      <c r="J118" s="46"/>
      <c r="K118" s="46"/>
      <c r="L118" s="46"/>
    </row>
    <row r="119" spans="1:12" x14ac:dyDescent="0.25">
      <c r="A119" s="46"/>
      <c r="B119" s="1760" t="s">
        <v>2240</v>
      </c>
      <c r="C119" s="1761"/>
      <c r="D119" s="1761"/>
      <c r="E119" s="1761"/>
      <c r="F119" s="1761"/>
      <c r="G119" s="1761"/>
      <c r="H119" s="1761"/>
      <c r="I119" s="1762"/>
      <c r="J119" s="46"/>
      <c r="K119" s="46"/>
      <c r="L119" s="46"/>
    </row>
    <row r="120" spans="1:12" x14ac:dyDescent="0.25">
      <c r="A120" s="46"/>
      <c r="B120" s="1814" t="s">
        <v>2241</v>
      </c>
      <c r="C120" s="1815"/>
      <c r="D120" s="1815"/>
      <c r="E120" s="1815"/>
      <c r="F120" s="1815"/>
      <c r="G120" s="1815"/>
      <c r="H120" s="1815"/>
      <c r="I120" s="1816"/>
      <c r="J120" s="46"/>
      <c r="K120" s="46"/>
      <c r="L120" s="46"/>
    </row>
    <row r="121" spans="1:12" ht="51.75" customHeight="1" x14ac:dyDescent="0.25">
      <c r="A121" s="46"/>
      <c r="B121" s="1776" t="s">
        <v>2242</v>
      </c>
      <c r="C121" s="1777"/>
      <c r="D121" s="1777"/>
      <c r="E121" s="1777"/>
      <c r="F121" s="1777"/>
      <c r="G121" s="1777"/>
      <c r="H121" s="1777"/>
      <c r="I121" s="1778"/>
      <c r="J121" s="46"/>
      <c r="K121" s="46"/>
      <c r="L121" s="46"/>
    </row>
    <row r="122" spans="1:12" ht="28.5" customHeight="1" x14ac:dyDescent="0.25">
      <c r="A122" s="46"/>
      <c r="B122" s="1776" t="s">
        <v>2243</v>
      </c>
      <c r="C122" s="1777"/>
      <c r="D122" s="1777"/>
      <c r="E122" s="1777"/>
      <c r="F122" s="1777"/>
      <c r="G122" s="1777"/>
      <c r="H122" s="1777"/>
      <c r="I122" s="1778"/>
      <c r="J122" s="46"/>
      <c r="K122" s="46"/>
      <c r="L122" s="46"/>
    </row>
    <row r="123" spans="1:12" ht="15" customHeight="1" x14ac:dyDescent="0.25">
      <c r="A123" s="46"/>
      <c r="B123" s="1776" t="s">
        <v>2244</v>
      </c>
      <c r="C123" s="1777"/>
      <c r="D123" s="1777"/>
      <c r="E123" s="1777"/>
      <c r="F123" s="1777"/>
      <c r="G123" s="1777"/>
      <c r="H123" s="1777"/>
      <c r="I123" s="1778"/>
      <c r="J123" s="46"/>
      <c r="K123" s="46"/>
      <c r="L123" s="46"/>
    </row>
    <row r="124" spans="1:12" ht="15" customHeight="1" x14ac:dyDescent="0.25">
      <c r="A124" s="46"/>
      <c r="B124" s="1776" t="s">
        <v>2245</v>
      </c>
      <c r="C124" s="1777"/>
      <c r="D124" s="1777"/>
      <c r="E124" s="1777"/>
      <c r="F124" s="1777"/>
      <c r="G124" s="1777"/>
      <c r="H124" s="1777"/>
      <c r="I124" s="1778"/>
      <c r="J124" s="46"/>
      <c r="K124" s="46"/>
      <c r="L124" s="46"/>
    </row>
    <row r="125" spans="1:12" ht="26.25" customHeight="1" x14ac:dyDescent="0.25">
      <c r="A125" s="46"/>
      <c r="B125" s="1779" t="s">
        <v>2246</v>
      </c>
      <c r="C125" s="1780"/>
      <c r="D125" s="1780"/>
      <c r="E125" s="1780"/>
      <c r="F125" s="1780"/>
      <c r="G125" s="1780"/>
      <c r="H125" s="1780"/>
      <c r="I125" s="1781"/>
      <c r="J125" s="46"/>
      <c r="K125" s="46"/>
      <c r="L125" s="46"/>
    </row>
    <row r="126" spans="1:12" x14ac:dyDescent="0.25">
      <c r="A126" s="46"/>
      <c r="B126" s="46"/>
      <c r="C126" s="46"/>
      <c r="D126" s="46"/>
      <c r="E126" s="46"/>
      <c r="F126" s="46"/>
      <c r="G126" s="46"/>
      <c r="H126" s="46"/>
      <c r="I126" s="46"/>
      <c r="J126" s="46"/>
      <c r="K126" s="46"/>
      <c r="L126" s="46"/>
    </row>
    <row r="127" spans="1:12" ht="15" customHeight="1" x14ac:dyDescent="0.25">
      <c r="A127" s="46"/>
      <c r="B127" s="1785" t="s">
        <v>2483</v>
      </c>
      <c r="C127" s="1761"/>
      <c r="D127" s="1761"/>
      <c r="E127" s="1761"/>
      <c r="F127" s="1761"/>
      <c r="G127" s="1761"/>
      <c r="H127" s="1761"/>
      <c r="I127" s="1762"/>
      <c r="J127" s="46"/>
      <c r="K127" s="46"/>
      <c r="L127" s="46"/>
    </row>
    <row r="128" spans="1:12" ht="15" customHeight="1" x14ac:dyDescent="0.25">
      <c r="A128" s="46"/>
      <c r="B128" s="1782" t="s">
        <v>2251</v>
      </c>
      <c r="C128" s="1783"/>
      <c r="D128" s="1783"/>
      <c r="E128" s="1783"/>
      <c r="F128" s="1783"/>
      <c r="G128" s="1783"/>
      <c r="H128" s="1783"/>
      <c r="I128" s="1784"/>
      <c r="J128" s="46"/>
      <c r="K128" s="46"/>
      <c r="L128" s="46"/>
    </row>
    <row r="129" spans="1:15" ht="15" customHeight="1" x14ac:dyDescent="0.25">
      <c r="A129" s="46"/>
      <c r="B129" s="1782" t="s">
        <v>2252</v>
      </c>
      <c r="C129" s="1783"/>
      <c r="D129" s="1783"/>
      <c r="E129" s="1783"/>
      <c r="F129" s="1783"/>
      <c r="G129" s="1783"/>
      <c r="H129" s="1783"/>
      <c r="I129" s="1784"/>
      <c r="J129" s="46"/>
      <c r="K129" s="46"/>
      <c r="L129" s="46"/>
    </row>
    <row r="130" spans="1:15" ht="15" customHeight="1" x14ac:dyDescent="0.25">
      <c r="A130" s="46"/>
      <c r="B130" s="1782" t="s">
        <v>2253</v>
      </c>
      <c r="C130" s="1783"/>
      <c r="D130" s="1783"/>
      <c r="E130" s="1783"/>
      <c r="F130" s="1783"/>
      <c r="G130" s="1783"/>
      <c r="H130" s="1783"/>
      <c r="I130" s="1784"/>
      <c r="J130" s="46"/>
      <c r="K130" s="46"/>
      <c r="L130" s="46"/>
    </row>
    <row r="131" spans="1:15" ht="15" customHeight="1" x14ac:dyDescent="0.25">
      <c r="A131" s="46"/>
      <c r="B131" s="1773" t="s">
        <v>2492</v>
      </c>
      <c r="C131" s="1774"/>
      <c r="D131" s="1774"/>
      <c r="E131" s="1774"/>
      <c r="F131" s="1774"/>
      <c r="G131" s="1774"/>
      <c r="H131" s="1774"/>
      <c r="I131" s="1775"/>
      <c r="J131" s="46"/>
      <c r="K131" s="46"/>
      <c r="L131" s="46"/>
    </row>
    <row r="132" spans="1:15" x14ac:dyDescent="0.25">
      <c r="A132" s="46"/>
      <c r="B132" s="46"/>
      <c r="C132" s="46"/>
      <c r="D132" s="46"/>
      <c r="E132" s="46"/>
      <c r="F132" s="46"/>
      <c r="G132" s="46"/>
      <c r="H132" s="46"/>
      <c r="I132" s="46"/>
      <c r="J132" s="46"/>
      <c r="K132" s="46"/>
      <c r="L132" s="46"/>
    </row>
    <row r="133" spans="1:15" x14ac:dyDescent="0.25">
      <c r="A133" s="46"/>
      <c r="B133" s="564" t="s">
        <v>2484</v>
      </c>
      <c r="C133" s="46"/>
      <c r="D133" s="46"/>
      <c r="E133" s="46"/>
      <c r="F133" s="46"/>
      <c r="G133" s="46"/>
      <c r="H133" s="46"/>
      <c r="I133" s="46"/>
      <c r="J133" s="46"/>
      <c r="K133" s="46"/>
      <c r="L133" s="46"/>
    </row>
    <row r="134" spans="1:15" ht="12.75" customHeight="1" x14ac:dyDescent="0.25">
      <c r="A134" s="46"/>
      <c r="B134" s="112"/>
      <c r="C134" s="46"/>
      <c r="D134" s="46"/>
      <c r="E134" s="451"/>
      <c r="F134" s="451"/>
      <c r="G134" s="46"/>
      <c r="H134" s="46"/>
      <c r="I134" s="46"/>
      <c r="J134" s="46"/>
      <c r="K134" s="46"/>
      <c r="L134" s="46"/>
    </row>
    <row r="135" spans="1:15" ht="27" customHeight="1" x14ac:dyDescent="0.25">
      <c r="A135" s="46"/>
      <c r="B135" s="468" t="s">
        <v>631</v>
      </c>
      <c r="C135" s="1267" t="s">
        <v>2487</v>
      </c>
      <c r="D135" s="1270" t="s">
        <v>2485</v>
      </c>
      <c r="E135" s="1665" t="s">
        <v>2486</v>
      </c>
      <c r="F135" s="1665"/>
      <c r="G135" s="465" t="s">
        <v>2489</v>
      </c>
      <c r="H135" s="1270" t="s">
        <v>2490</v>
      </c>
      <c r="I135" s="1270" t="s">
        <v>2491</v>
      </c>
      <c r="J135" s="840" t="s">
        <v>2488</v>
      </c>
      <c r="K135" s="46"/>
      <c r="L135" s="46"/>
      <c r="M135" s="727" t="s">
        <v>2493</v>
      </c>
      <c r="N135" s="727" t="s">
        <v>2494</v>
      </c>
      <c r="O135" s="35" t="s">
        <v>77</v>
      </c>
    </row>
    <row r="136" spans="1:15" x14ac:dyDescent="0.25">
      <c r="A136" s="46"/>
      <c r="B136" s="467"/>
      <c r="C136" s="1272"/>
      <c r="D136" s="467" t="s">
        <v>53</v>
      </c>
      <c r="E136" s="1689"/>
      <c r="F136" s="1690"/>
      <c r="G136" s="467"/>
      <c r="H136" s="1271" t="s">
        <v>53</v>
      </c>
      <c r="I136" s="1271" t="s">
        <v>1895</v>
      </c>
      <c r="J136" s="839" t="str">
        <f>O136</f>
        <v/>
      </c>
      <c r="K136" s="46"/>
      <c r="L136" s="46"/>
      <c r="M136" s="35" t="str">
        <f>IF(AND(D136&lt;&gt;"Select",D136&lt;&gt;"None",E136&lt;&gt;""),"Yes",IF(D136="Select","","No"))</f>
        <v/>
      </c>
      <c r="N136" s="35" t="str">
        <f>IFERROR(IF(D136="timer controls",IF(AND(I136&lt;&gt;"Select",I136&lt;&gt;"No"),IF(C136&lt;=1000,IF(AND(C136/G136&lt;=250,H136&lt;&gt;"Select"),"Yes","No"),IF(AND(C136/G136&lt;=1000,H136&lt;&gt;"Select"),"Yes","No"))),IF(C136&lt;=1000,IF(AND(C136/G136&lt;=250,H136&lt;&gt;"Select"),"Yes","No"),IF(AND(C136/G136&lt;=1000,H136&lt;&gt;"Select"),"Yes","No"))),"")</f>
        <v/>
      </c>
      <c r="O136" s="35" t="str">
        <f>IF(AND(M136="",N136=""),"",IF(AND(M136="Yes",N136="Yes"),"Yes","No"))</f>
        <v/>
      </c>
    </row>
    <row r="137" spans="1:15" x14ac:dyDescent="0.25">
      <c r="A137" s="46"/>
      <c r="B137" s="466"/>
      <c r="C137" s="1272"/>
      <c r="D137" s="1272" t="s">
        <v>53</v>
      </c>
      <c r="E137" s="1689"/>
      <c r="F137" s="1690"/>
      <c r="G137" s="466"/>
      <c r="H137" s="1271" t="s">
        <v>53</v>
      </c>
      <c r="I137" s="1271" t="s">
        <v>53</v>
      </c>
      <c r="J137" s="1269" t="str">
        <f t="shared" ref="J137:J155" si="5">O137</f>
        <v/>
      </c>
      <c r="K137" s="46"/>
      <c r="L137" s="46"/>
      <c r="M137" s="35" t="str">
        <f t="shared" ref="M137:M155" si="6">IF(AND(D137&lt;&gt;"Select",D137&lt;&gt;"None",E137&lt;&gt;""),"Yes",IF(D137="Select","","No"))</f>
        <v/>
      </c>
      <c r="N137" s="35" t="str">
        <f t="shared" ref="N137:N155" si="7">IFERROR(IF(D137="timer controls",IF(AND(I137&lt;&gt;"Select",I137&lt;&gt;"No"),IF(C137&lt;=1000,IF(AND(C137/G137&lt;=250,H137&lt;&gt;"Select"),"Yes","No"),IF(AND(C137/G137&lt;=1000,H137&lt;&gt;"Select"),"Yes","No"))),IF(C137&lt;=1000,IF(AND(C137/G137&lt;=250,H137&lt;&gt;"Select"),"Yes","No"),IF(AND(C137/G137&lt;=1000,H137&lt;&gt;"Select"),"Yes","No"))),"")</f>
        <v/>
      </c>
      <c r="O137" s="35" t="str">
        <f t="shared" ref="O137:O155" si="8">IF(AND(M137="",N137=""),"",IF(AND(M137="Yes",N137="Yes"),"Yes","No"))</f>
        <v/>
      </c>
    </row>
    <row r="138" spans="1:15" x14ac:dyDescent="0.25">
      <c r="A138" s="46"/>
      <c r="B138" s="466"/>
      <c r="C138" s="1272"/>
      <c r="D138" s="1272" t="s">
        <v>53</v>
      </c>
      <c r="E138" s="1689"/>
      <c r="F138" s="1690"/>
      <c r="G138" s="466"/>
      <c r="H138" s="1271" t="s">
        <v>53</v>
      </c>
      <c r="I138" s="1271" t="s">
        <v>53</v>
      </c>
      <c r="J138" s="1269" t="str">
        <f t="shared" si="5"/>
        <v/>
      </c>
      <c r="K138" s="46"/>
      <c r="L138" s="46"/>
      <c r="M138" s="35" t="str">
        <f t="shared" si="6"/>
        <v/>
      </c>
      <c r="N138" s="35" t="str">
        <f t="shared" si="7"/>
        <v/>
      </c>
      <c r="O138" s="35" t="str">
        <f t="shared" si="8"/>
        <v/>
      </c>
    </row>
    <row r="139" spans="1:15" x14ac:dyDescent="0.25">
      <c r="A139" s="46"/>
      <c r="B139" s="466"/>
      <c r="C139" s="1272"/>
      <c r="D139" s="1272" t="s">
        <v>53</v>
      </c>
      <c r="E139" s="1689"/>
      <c r="F139" s="1690"/>
      <c r="G139" s="466"/>
      <c r="H139" s="1271" t="s">
        <v>53</v>
      </c>
      <c r="I139" s="1271" t="s">
        <v>53</v>
      </c>
      <c r="J139" s="1269" t="str">
        <f t="shared" si="5"/>
        <v/>
      </c>
      <c r="K139" s="46"/>
      <c r="L139" s="46"/>
      <c r="M139" s="35" t="str">
        <f t="shared" si="6"/>
        <v/>
      </c>
      <c r="N139" s="35" t="str">
        <f t="shared" si="7"/>
        <v/>
      </c>
      <c r="O139" s="35" t="str">
        <f t="shared" si="8"/>
        <v/>
      </c>
    </row>
    <row r="140" spans="1:15" x14ac:dyDescent="0.25">
      <c r="A140" s="46"/>
      <c r="B140" s="466"/>
      <c r="C140" s="1272"/>
      <c r="D140" s="1272" t="s">
        <v>53</v>
      </c>
      <c r="E140" s="1689"/>
      <c r="F140" s="1690"/>
      <c r="G140" s="466"/>
      <c r="H140" s="1271" t="s">
        <v>53</v>
      </c>
      <c r="I140" s="1271" t="s">
        <v>53</v>
      </c>
      <c r="J140" s="1269" t="str">
        <f t="shared" si="5"/>
        <v/>
      </c>
      <c r="K140" s="46"/>
      <c r="L140" s="46"/>
      <c r="M140" s="35" t="str">
        <f t="shared" si="6"/>
        <v/>
      </c>
      <c r="N140" s="35" t="str">
        <f t="shared" si="7"/>
        <v/>
      </c>
      <c r="O140" s="35" t="str">
        <f t="shared" si="8"/>
        <v/>
      </c>
    </row>
    <row r="141" spans="1:15" x14ac:dyDescent="0.25">
      <c r="A141" s="46"/>
      <c r="B141" s="1189"/>
      <c r="C141" s="1272"/>
      <c r="D141" s="1272" t="s">
        <v>53</v>
      </c>
      <c r="E141" s="1689"/>
      <c r="F141" s="1690"/>
      <c r="G141" s="1189"/>
      <c r="H141" s="1271" t="s">
        <v>53</v>
      </c>
      <c r="I141" s="1271" t="s">
        <v>53</v>
      </c>
      <c r="J141" s="1269" t="str">
        <f t="shared" si="5"/>
        <v/>
      </c>
      <c r="K141" s="46"/>
      <c r="L141" s="46"/>
      <c r="M141" s="35" t="str">
        <f t="shared" si="6"/>
        <v/>
      </c>
      <c r="N141" s="35" t="str">
        <f t="shared" si="7"/>
        <v/>
      </c>
      <c r="O141" s="35" t="str">
        <f t="shared" si="8"/>
        <v/>
      </c>
    </row>
    <row r="142" spans="1:15" x14ac:dyDescent="0.25">
      <c r="A142" s="46"/>
      <c r="B142" s="1189"/>
      <c r="C142" s="1272"/>
      <c r="D142" s="1272" t="s">
        <v>53</v>
      </c>
      <c r="E142" s="1689"/>
      <c r="F142" s="1690"/>
      <c r="G142" s="1189"/>
      <c r="H142" s="1271" t="s">
        <v>53</v>
      </c>
      <c r="I142" s="1271" t="s">
        <v>53</v>
      </c>
      <c r="J142" s="1269" t="str">
        <f t="shared" si="5"/>
        <v/>
      </c>
      <c r="K142" s="46"/>
      <c r="L142" s="46"/>
      <c r="M142" s="35" t="str">
        <f t="shared" si="6"/>
        <v/>
      </c>
      <c r="N142" s="35" t="str">
        <f t="shared" si="7"/>
        <v/>
      </c>
      <c r="O142" s="35" t="str">
        <f t="shared" si="8"/>
        <v/>
      </c>
    </row>
    <row r="143" spans="1:15" x14ac:dyDescent="0.25">
      <c r="A143" s="46"/>
      <c r="B143" s="1189"/>
      <c r="C143" s="1272"/>
      <c r="D143" s="1272" t="s">
        <v>53</v>
      </c>
      <c r="E143" s="1689"/>
      <c r="F143" s="1690"/>
      <c r="G143" s="1189"/>
      <c r="H143" s="1271" t="s">
        <v>53</v>
      </c>
      <c r="I143" s="1271" t="s">
        <v>53</v>
      </c>
      <c r="J143" s="1269" t="str">
        <f t="shared" si="5"/>
        <v/>
      </c>
      <c r="K143" s="46"/>
      <c r="L143" s="46"/>
      <c r="M143" s="35" t="str">
        <f t="shared" si="6"/>
        <v/>
      </c>
      <c r="N143" s="35" t="str">
        <f t="shared" si="7"/>
        <v/>
      </c>
      <c r="O143" s="35" t="str">
        <f t="shared" si="8"/>
        <v/>
      </c>
    </row>
    <row r="144" spans="1:15" x14ac:dyDescent="0.25">
      <c r="A144" s="46"/>
      <c r="B144" s="1189"/>
      <c r="C144" s="1272"/>
      <c r="D144" s="1272" t="s">
        <v>53</v>
      </c>
      <c r="E144" s="1689"/>
      <c r="F144" s="1690"/>
      <c r="G144" s="1189"/>
      <c r="H144" s="1271" t="s">
        <v>53</v>
      </c>
      <c r="I144" s="1271" t="s">
        <v>53</v>
      </c>
      <c r="J144" s="1269" t="str">
        <f t="shared" si="5"/>
        <v/>
      </c>
      <c r="K144" s="46"/>
      <c r="L144" s="46"/>
      <c r="M144" s="35" t="str">
        <f t="shared" si="6"/>
        <v/>
      </c>
      <c r="N144" s="35" t="str">
        <f t="shared" si="7"/>
        <v/>
      </c>
      <c r="O144" s="35" t="str">
        <f t="shared" si="8"/>
        <v/>
      </c>
    </row>
    <row r="145" spans="1:15" x14ac:dyDescent="0.25">
      <c r="A145" s="46"/>
      <c r="B145" s="1189"/>
      <c r="C145" s="1272"/>
      <c r="D145" s="1272" t="s">
        <v>53</v>
      </c>
      <c r="E145" s="1689"/>
      <c r="F145" s="1690"/>
      <c r="G145" s="1189"/>
      <c r="H145" s="1271" t="s">
        <v>53</v>
      </c>
      <c r="I145" s="1271" t="s">
        <v>53</v>
      </c>
      <c r="J145" s="1269" t="str">
        <f t="shared" si="5"/>
        <v/>
      </c>
      <c r="K145" s="46"/>
      <c r="L145" s="46"/>
      <c r="M145" s="35" t="str">
        <f t="shared" si="6"/>
        <v/>
      </c>
      <c r="N145" s="35" t="str">
        <f t="shared" si="7"/>
        <v/>
      </c>
      <c r="O145" s="35" t="str">
        <f t="shared" si="8"/>
        <v/>
      </c>
    </row>
    <row r="146" spans="1:15" x14ac:dyDescent="0.25">
      <c r="A146" s="46"/>
      <c r="B146" s="466"/>
      <c r="C146" s="1272"/>
      <c r="D146" s="1272" t="s">
        <v>53</v>
      </c>
      <c r="E146" s="1689"/>
      <c r="F146" s="1690"/>
      <c r="G146" s="466"/>
      <c r="H146" s="1271" t="s">
        <v>53</v>
      </c>
      <c r="I146" s="1271" t="s">
        <v>53</v>
      </c>
      <c r="J146" s="1269" t="str">
        <f t="shared" si="5"/>
        <v/>
      </c>
      <c r="K146" s="46"/>
      <c r="L146" s="46"/>
      <c r="M146" s="35" t="str">
        <f t="shared" si="6"/>
        <v/>
      </c>
      <c r="N146" s="35" t="str">
        <f t="shared" si="7"/>
        <v/>
      </c>
      <c r="O146" s="35" t="str">
        <f t="shared" si="8"/>
        <v/>
      </c>
    </row>
    <row r="147" spans="1:15" x14ac:dyDescent="0.25">
      <c r="A147" s="46"/>
      <c r="B147" s="466"/>
      <c r="C147" s="1272"/>
      <c r="D147" s="1272" t="s">
        <v>53</v>
      </c>
      <c r="E147" s="1689"/>
      <c r="F147" s="1690"/>
      <c r="G147" s="466"/>
      <c r="H147" s="1271" t="s">
        <v>53</v>
      </c>
      <c r="I147" s="1271" t="s">
        <v>53</v>
      </c>
      <c r="J147" s="1269" t="str">
        <f t="shared" si="5"/>
        <v/>
      </c>
      <c r="K147" s="46"/>
      <c r="L147" s="46"/>
      <c r="M147" s="35" t="str">
        <f t="shared" si="6"/>
        <v/>
      </c>
      <c r="N147" s="35" t="str">
        <f t="shared" si="7"/>
        <v/>
      </c>
      <c r="O147" s="35" t="str">
        <f t="shared" si="8"/>
        <v/>
      </c>
    </row>
    <row r="148" spans="1:15" x14ac:dyDescent="0.25">
      <c r="A148" s="46"/>
      <c r="B148" s="466"/>
      <c r="C148" s="1272"/>
      <c r="D148" s="1272" t="s">
        <v>53</v>
      </c>
      <c r="E148" s="1689"/>
      <c r="F148" s="1690"/>
      <c r="G148" s="466"/>
      <c r="H148" s="1271" t="s">
        <v>53</v>
      </c>
      <c r="I148" s="1271" t="s">
        <v>53</v>
      </c>
      <c r="J148" s="1269" t="str">
        <f t="shared" si="5"/>
        <v/>
      </c>
      <c r="K148" s="46"/>
      <c r="L148" s="46"/>
      <c r="M148" s="35" t="str">
        <f t="shared" si="6"/>
        <v/>
      </c>
      <c r="N148" s="35" t="str">
        <f t="shared" si="7"/>
        <v/>
      </c>
      <c r="O148" s="35" t="str">
        <f t="shared" si="8"/>
        <v/>
      </c>
    </row>
    <row r="149" spans="1:15" x14ac:dyDescent="0.25">
      <c r="A149" s="46"/>
      <c r="B149" s="466"/>
      <c r="C149" s="1272"/>
      <c r="D149" s="1272" t="s">
        <v>53</v>
      </c>
      <c r="E149" s="1689"/>
      <c r="F149" s="1690"/>
      <c r="G149" s="466"/>
      <c r="H149" s="1271" t="s">
        <v>53</v>
      </c>
      <c r="I149" s="1271" t="s">
        <v>53</v>
      </c>
      <c r="J149" s="1269" t="str">
        <f t="shared" si="5"/>
        <v/>
      </c>
      <c r="K149" s="46"/>
      <c r="L149" s="46"/>
      <c r="M149" s="35" t="str">
        <f t="shared" si="6"/>
        <v/>
      </c>
      <c r="N149" s="35" t="str">
        <f t="shared" si="7"/>
        <v/>
      </c>
      <c r="O149" s="35" t="str">
        <f t="shared" si="8"/>
        <v/>
      </c>
    </row>
    <row r="150" spans="1:15" x14ac:dyDescent="0.25">
      <c r="A150" s="46"/>
      <c r="B150" s="466"/>
      <c r="C150" s="1272"/>
      <c r="D150" s="1272" t="s">
        <v>53</v>
      </c>
      <c r="E150" s="1689"/>
      <c r="F150" s="1690"/>
      <c r="G150" s="466"/>
      <c r="H150" s="1271" t="s">
        <v>53</v>
      </c>
      <c r="I150" s="1271" t="s">
        <v>53</v>
      </c>
      <c r="J150" s="1269" t="str">
        <f t="shared" si="5"/>
        <v/>
      </c>
      <c r="K150" s="46"/>
      <c r="L150" s="46"/>
      <c r="M150" s="35" t="str">
        <f t="shared" si="6"/>
        <v/>
      </c>
      <c r="N150" s="35" t="str">
        <f t="shared" si="7"/>
        <v/>
      </c>
      <c r="O150" s="35" t="str">
        <f t="shared" si="8"/>
        <v/>
      </c>
    </row>
    <row r="151" spans="1:15" x14ac:dyDescent="0.25">
      <c r="A151" s="46"/>
      <c r="B151" s="466"/>
      <c r="C151" s="1272"/>
      <c r="D151" s="1272" t="s">
        <v>53</v>
      </c>
      <c r="E151" s="1689"/>
      <c r="F151" s="1690"/>
      <c r="G151" s="466"/>
      <c r="H151" s="1271" t="s">
        <v>53</v>
      </c>
      <c r="I151" s="1271" t="s">
        <v>53</v>
      </c>
      <c r="J151" s="1269" t="str">
        <f t="shared" si="5"/>
        <v/>
      </c>
      <c r="K151" s="46"/>
      <c r="L151" s="46"/>
      <c r="M151" s="35" t="str">
        <f t="shared" si="6"/>
        <v/>
      </c>
      <c r="N151" s="35" t="str">
        <f t="shared" si="7"/>
        <v/>
      </c>
      <c r="O151" s="35" t="str">
        <f t="shared" si="8"/>
        <v/>
      </c>
    </row>
    <row r="152" spans="1:15" x14ac:dyDescent="0.25">
      <c r="A152" s="46"/>
      <c r="B152" s="466"/>
      <c r="C152" s="1272"/>
      <c r="D152" s="1272" t="s">
        <v>53</v>
      </c>
      <c r="E152" s="1689"/>
      <c r="F152" s="1690"/>
      <c r="G152" s="466"/>
      <c r="H152" s="1271" t="s">
        <v>53</v>
      </c>
      <c r="I152" s="1271" t="s">
        <v>53</v>
      </c>
      <c r="J152" s="1269" t="str">
        <f t="shared" si="5"/>
        <v/>
      </c>
      <c r="K152" s="46"/>
      <c r="L152" s="46"/>
      <c r="M152" s="35" t="str">
        <f t="shared" si="6"/>
        <v/>
      </c>
      <c r="N152" s="35" t="str">
        <f t="shared" si="7"/>
        <v/>
      </c>
      <c r="O152" s="35" t="str">
        <f t="shared" si="8"/>
        <v/>
      </c>
    </row>
    <row r="153" spans="1:15" x14ac:dyDescent="0.25">
      <c r="A153" s="46"/>
      <c r="B153" s="439"/>
      <c r="C153" s="1272"/>
      <c r="D153" s="1272" t="s">
        <v>53</v>
      </c>
      <c r="E153" s="1689"/>
      <c r="F153" s="1690"/>
      <c r="G153" s="439"/>
      <c r="H153" s="1271" t="s">
        <v>53</v>
      </c>
      <c r="I153" s="1271" t="s">
        <v>53</v>
      </c>
      <c r="J153" s="1269" t="str">
        <f t="shared" si="5"/>
        <v/>
      </c>
      <c r="K153" s="46"/>
      <c r="L153" s="46"/>
      <c r="M153" s="35" t="str">
        <f t="shared" si="6"/>
        <v/>
      </c>
      <c r="N153" s="35" t="str">
        <f t="shared" si="7"/>
        <v/>
      </c>
      <c r="O153" s="35" t="str">
        <f t="shared" si="8"/>
        <v/>
      </c>
    </row>
    <row r="154" spans="1:15" x14ac:dyDescent="0.25">
      <c r="A154" s="46"/>
      <c r="B154" s="439"/>
      <c r="C154" s="1272"/>
      <c r="D154" s="1272" t="s">
        <v>53</v>
      </c>
      <c r="E154" s="1689"/>
      <c r="F154" s="1690"/>
      <c r="G154" s="439"/>
      <c r="H154" s="1271" t="s">
        <v>53</v>
      </c>
      <c r="I154" s="1271" t="s">
        <v>53</v>
      </c>
      <c r="J154" s="1269" t="str">
        <f t="shared" si="5"/>
        <v/>
      </c>
      <c r="K154" s="46"/>
      <c r="L154" s="46"/>
      <c r="M154" s="35" t="str">
        <f t="shared" si="6"/>
        <v/>
      </c>
      <c r="N154" s="35" t="str">
        <f t="shared" si="7"/>
        <v/>
      </c>
      <c r="O154" s="35" t="str">
        <f t="shared" si="8"/>
        <v/>
      </c>
    </row>
    <row r="155" spans="1:15" x14ac:dyDescent="0.25">
      <c r="A155" s="46"/>
      <c r="B155" s="439"/>
      <c r="C155" s="1272"/>
      <c r="D155" s="1272" t="s">
        <v>53</v>
      </c>
      <c r="E155" s="1689"/>
      <c r="F155" s="1690"/>
      <c r="G155" s="439"/>
      <c r="H155" s="1271" t="s">
        <v>53</v>
      </c>
      <c r="I155" s="1271" t="s">
        <v>53</v>
      </c>
      <c r="J155" s="1269" t="str">
        <f t="shared" si="5"/>
        <v/>
      </c>
      <c r="K155" s="46"/>
      <c r="L155" s="46"/>
      <c r="M155" s="35" t="str">
        <f t="shared" si="6"/>
        <v/>
      </c>
      <c r="N155" s="35" t="str">
        <f t="shared" si="7"/>
        <v/>
      </c>
      <c r="O155" s="35" t="str">
        <f t="shared" si="8"/>
        <v/>
      </c>
    </row>
    <row r="156" spans="1:15" x14ac:dyDescent="0.25">
      <c r="A156" s="46"/>
      <c r="B156" s="46"/>
      <c r="C156" s="46"/>
      <c r="D156" s="46"/>
      <c r="E156" s="46"/>
      <c r="F156" s="46"/>
      <c r="G156" s="46"/>
      <c r="H156" s="46"/>
      <c r="I156" s="46"/>
      <c r="J156" s="46"/>
      <c r="K156" s="46"/>
      <c r="L156" s="46"/>
    </row>
    <row r="157" spans="1:15" ht="18" customHeight="1" x14ac:dyDescent="0.25">
      <c r="A157" s="46"/>
      <c r="B157" s="1666" t="s">
        <v>1956</v>
      </c>
      <c r="C157" s="1666"/>
      <c r="D157" s="121" t="str">
        <f>IF(AND(COUNTIF(O136:O155,"Yes")&gt;0,COUNTIF(O136:O155,"No")=0),"Yes","No")</f>
        <v>No</v>
      </c>
      <c r="E157" s="46"/>
      <c r="F157" s="46"/>
      <c r="G157" s="46"/>
      <c r="H157" s="46"/>
      <c r="I157" s="46"/>
      <c r="J157" s="46"/>
      <c r="K157" s="46"/>
      <c r="L157" s="46"/>
    </row>
    <row r="158" spans="1:15" ht="18.75" customHeight="1" x14ac:dyDescent="0.25">
      <c r="A158" s="46"/>
      <c r="B158" s="46"/>
      <c r="C158" s="46"/>
      <c r="D158" s="46"/>
      <c r="E158" s="46"/>
      <c r="F158" s="46"/>
      <c r="G158" s="46"/>
      <c r="H158" s="46"/>
      <c r="I158" s="46"/>
      <c r="J158" s="46"/>
      <c r="K158" s="46"/>
      <c r="L158" s="46"/>
    </row>
    <row r="159" spans="1:15" ht="16.5" customHeight="1" x14ac:dyDescent="0.25">
      <c r="A159" s="1688" t="s">
        <v>84</v>
      </c>
      <c r="B159" s="1688"/>
      <c r="C159" s="1688"/>
      <c r="D159" s="46"/>
      <c r="E159" s="46"/>
      <c r="F159" s="46"/>
      <c r="G159" s="46"/>
      <c r="H159" s="46"/>
      <c r="I159" s="46"/>
      <c r="J159" s="46"/>
      <c r="K159" s="46"/>
      <c r="L159" s="46"/>
    </row>
    <row r="160" spans="1:15" x14ac:dyDescent="0.25">
      <c r="A160" s="46"/>
      <c r="B160" s="46"/>
      <c r="C160" s="46"/>
      <c r="D160" s="46"/>
      <c r="E160" s="46"/>
      <c r="F160" s="46"/>
      <c r="G160" s="46"/>
      <c r="H160" s="46"/>
      <c r="I160" s="46"/>
      <c r="J160" s="46"/>
      <c r="K160" s="46"/>
      <c r="L160" s="46"/>
    </row>
    <row r="161" spans="1:13" ht="21" customHeight="1" x14ac:dyDescent="0.25">
      <c r="A161" s="45"/>
      <c r="B161" s="1641" t="s">
        <v>85</v>
      </c>
      <c r="C161" s="1642"/>
      <c r="D161" s="1642"/>
      <c r="E161" s="1642"/>
      <c r="F161" s="1642"/>
      <c r="G161" s="603" t="s">
        <v>907</v>
      </c>
      <c r="H161" s="1638" t="s">
        <v>908</v>
      </c>
      <c r="I161" s="1639"/>
      <c r="J161" s="46"/>
      <c r="K161" s="46"/>
      <c r="L161" s="46"/>
    </row>
    <row r="162" spans="1:13" ht="27" customHeight="1" x14ac:dyDescent="0.25">
      <c r="A162" s="45"/>
      <c r="B162" s="1648" t="str">
        <f>Submittals!G30</f>
        <v>• Electrical drawings showing the location of all sensors and controls for separate spaces</v>
      </c>
      <c r="C162" s="1649"/>
      <c r="D162" s="1649"/>
      <c r="E162" s="1649"/>
      <c r="F162" s="1650"/>
      <c r="G162" s="833" t="s">
        <v>53</v>
      </c>
      <c r="H162" s="1689"/>
      <c r="I162" s="1736"/>
      <c r="J162" s="46"/>
      <c r="K162" s="46"/>
      <c r="L162" s="46"/>
      <c r="M162" s="35" t="str">
        <f>IF(OR(B162="/",B162="No evidence required at this submission stage"),"Yes",IF(G162="Submitted","Yes","No"))</f>
        <v>No</v>
      </c>
    </row>
    <row r="163" spans="1:13" ht="27" customHeight="1" x14ac:dyDescent="0.25">
      <c r="A163" s="45"/>
      <c r="B163" s="1648" t="str">
        <f>Submittals!G31</f>
        <v>• Evidence of the lighting sensors and controls installed such as photographs, invoices, receipts, etc.</v>
      </c>
      <c r="C163" s="1649"/>
      <c r="D163" s="1649"/>
      <c r="E163" s="1649"/>
      <c r="F163" s="1650"/>
      <c r="G163" s="1162" t="s">
        <v>53</v>
      </c>
      <c r="H163" s="1689"/>
      <c r="I163" s="1736"/>
      <c r="J163" s="46"/>
      <c r="K163" s="46"/>
      <c r="L163" s="46"/>
      <c r="M163" s="35" t="str">
        <f>IF(OR(B163="/",B163="No evidence required at this submission stage"),"Yes",IF(G163="Submitted","Yes","No"))</f>
        <v>No</v>
      </c>
    </row>
    <row r="164" spans="1:13" ht="24" hidden="1" customHeight="1" x14ac:dyDescent="0.25">
      <c r="A164" s="45"/>
      <c r="B164" s="1648">
        <f>Submittals!G32</f>
        <v>0</v>
      </c>
      <c r="C164" s="1649"/>
      <c r="D164" s="1649"/>
      <c r="E164" s="1649"/>
      <c r="F164" s="1650"/>
      <c r="G164" s="833" t="s">
        <v>53</v>
      </c>
      <c r="H164" s="1689"/>
      <c r="I164" s="1736"/>
      <c r="J164" s="46"/>
      <c r="K164" s="46"/>
      <c r="L164" s="46"/>
      <c r="M164" s="35" t="str">
        <f>IF(OR(B164="/",B164="No evidence required at this submission stage"),"Yes",IF(G164="Submitted","Yes","No"))</f>
        <v>No</v>
      </c>
    </row>
    <row r="165" spans="1:13" ht="19.5" customHeight="1" x14ac:dyDescent="0.25">
      <c r="A165" s="46"/>
      <c r="B165" s="46"/>
      <c r="C165" s="46"/>
      <c r="D165" s="46"/>
      <c r="E165" s="46"/>
      <c r="F165" s="46"/>
      <c r="G165" s="46"/>
      <c r="H165" s="46"/>
      <c r="I165" s="46"/>
      <c r="J165" s="46"/>
      <c r="K165" s="46"/>
      <c r="L165" s="46"/>
    </row>
    <row r="166" spans="1:13" ht="16.5" customHeight="1" x14ac:dyDescent="0.25">
      <c r="A166" s="1688" t="s">
        <v>5</v>
      </c>
      <c r="B166" s="1688"/>
      <c r="C166" s="1688"/>
      <c r="D166" s="46"/>
      <c r="E166" s="46"/>
      <c r="F166" s="46"/>
      <c r="G166" s="46"/>
      <c r="H166" s="46"/>
      <c r="I166" s="46"/>
      <c r="J166" s="46"/>
      <c r="K166" s="46"/>
      <c r="L166" s="46"/>
    </row>
    <row r="167" spans="1:13" ht="17.25" customHeight="1" x14ac:dyDescent="0.25">
      <c r="A167" s="46"/>
      <c r="B167" s="46"/>
      <c r="C167" s="46"/>
      <c r="D167" s="46"/>
      <c r="E167" s="46"/>
      <c r="F167" s="46"/>
      <c r="G167" s="46"/>
      <c r="H167" s="46"/>
      <c r="I167" s="46"/>
      <c r="J167" s="46"/>
      <c r="K167" s="46"/>
      <c r="L167" s="46"/>
    </row>
    <row r="168" spans="1:13" ht="18" customHeight="1" x14ac:dyDescent="0.25">
      <c r="A168" s="46"/>
      <c r="B168" s="120" t="s">
        <v>16</v>
      </c>
      <c r="C168" s="8">
        <f>IF(D157="Yes",1,0)</f>
        <v>0</v>
      </c>
      <c r="D168" s="46"/>
      <c r="E168" s="46"/>
      <c r="F168" s="46"/>
      <c r="G168" s="46"/>
      <c r="H168" s="46"/>
      <c r="I168" s="46"/>
      <c r="J168" s="46"/>
      <c r="K168" s="46"/>
      <c r="L168" s="46"/>
    </row>
    <row r="169" spans="1:13" ht="18" customHeight="1" x14ac:dyDescent="0.25">
      <c r="A169" s="46"/>
      <c r="B169" s="120" t="s">
        <v>133</v>
      </c>
      <c r="C169" s="8" t="str">
        <f>IF(AND(COUNTIF(M162:M163,"Yes")=2,C168&gt;0),"Yes","No")</f>
        <v>No</v>
      </c>
      <c r="D169" s="46"/>
      <c r="E169" s="46"/>
      <c r="F169" s="46"/>
      <c r="G169" s="46"/>
      <c r="H169" s="46"/>
      <c r="I169" s="46"/>
      <c r="J169" s="46"/>
      <c r="K169" s="46"/>
      <c r="L169" s="46"/>
    </row>
    <row r="170" spans="1:13" ht="21" customHeight="1" x14ac:dyDescent="0.25">
      <c r="A170" s="46"/>
      <c r="B170" s="46"/>
      <c r="C170" s="46"/>
      <c r="D170" s="46"/>
      <c r="E170" s="46"/>
      <c r="F170" s="46"/>
      <c r="G170" s="46"/>
      <c r="H170" s="46"/>
      <c r="I170" s="46"/>
      <c r="J170" s="46"/>
      <c r="K170" s="46"/>
      <c r="L170" s="46"/>
    </row>
    <row r="171" spans="1:13" ht="18" customHeight="1" x14ac:dyDescent="0.25">
      <c r="A171" s="1667" t="s">
        <v>2247</v>
      </c>
      <c r="B171" s="1667"/>
      <c r="C171" s="1667"/>
      <c r="D171" s="1667"/>
      <c r="E171" s="1667"/>
      <c r="F171" s="1667"/>
      <c r="G171" s="1667"/>
      <c r="H171" s="1667"/>
      <c r="I171" s="1667"/>
      <c r="J171" s="1667"/>
      <c r="K171" s="1667"/>
      <c r="L171" s="1667"/>
    </row>
    <row r="172" spans="1:13" ht="15" customHeight="1" x14ac:dyDescent="0.25">
      <c r="A172" s="46"/>
      <c r="B172" s="46"/>
      <c r="C172" s="46"/>
      <c r="D172" s="46"/>
      <c r="E172" s="46"/>
      <c r="F172" s="46"/>
      <c r="G172" s="46"/>
      <c r="H172" s="46"/>
      <c r="I172" s="46"/>
      <c r="J172" s="46"/>
      <c r="K172" s="46"/>
      <c r="L172" s="46"/>
    </row>
    <row r="173" spans="1:13" ht="17.25" customHeight="1" x14ac:dyDescent="0.25">
      <c r="A173" s="1688" t="s">
        <v>102</v>
      </c>
      <c r="B173" s="1688"/>
      <c r="C173" s="1688"/>
      <c r="D173" s="46"/>
      <c r="E173" s="46"/>
      <c r="F173" s="46"/>
      <c r="G173" s="46"/>
      <c r="H173" s="46"/>
      <c r="I173" s="46"/>
      <c r="J173" s="46"/>
      <c r="K173" s="46"/>
      <c r="L173" s="46"/>
    </row>
    <row r="174" spans="1:13" ht="12" customHeight="1" x14ac:dyDescent="0.25">
      <c r="A174" s="46"/>
      <c r="B174" s="46"/>
      <c r="C174" s="46"/>
      <c r="D174" s="46"/>
      <c r="E174" s="46"/>
      <c r="F174" s="46"/>
      <c r="G174" s="46"/>
      <c r="H174" s="46"/>
      <c r="I174" s="46"/>
      <c r="J174" s="46"/>
      <c r="K174" s="46"/>
      <c r="L174" s="46"/>
    </row>
    <row r="175" spans="1:13" x14ac:dyDescent="0.25">
      <c r="A175" s="46"/>
      <c r="B175" s="112" t="s">
        <v>2250</v>
      </c>
      <c r="C175" s="46"/>
      <c r="D175" s="46"/>
      <c r="E175" s="46"/>
      <c r="F175" s="46"/>
      <c r="G175" s="46"/>
      <c r="H175" s="46"/>
      <c r="I175" s="46"/>
      <c r="J175" s="46"/>
      <c r="K175" s="46"/>
      <c r="L175" s="46"/>
    </row>
    <row r="176" spans="1:13" ht="9" customHeight="1" x14ac:dyDescent="0.25">
      <c r="A176" s="46"/>
      <c r="B176" s="46"/>
      <c r="C176" s="46"/>
      <c r="D176" s="46"/>
      <c r="E176" s="46"/>
      <c r="F176" s="46"/>
      <c r="G176" s="46"/>
      <c r="H176" s="46"/>
      <c r="I176" s="46"/>
      <c r="J176" s="46"/>
      <c r="K176" s="46"/>
      <c r="L176" s="46"/>
    </row>
    <row r="177" spans="1:14" ht="15.75" customHeight="1" x14ac:dyDescent="0.25">
      <c r="A177" s="46"/>
      <c r="B177" s="1213" t="s">
        <v>2248</v>
      </c>
      <c r="C177" s="46"/>
      <c r="D177" s="46"/>
      <c r="E177" s="46"/>
      <c r="F177" s="46"/>
      <c r="G177" s="46"/>
      <c r="H177" s="46"/>
      <c r="I177" s="46"/>
      <c r="J177" s="46"/>
      <c r="K177" s="46"/>
      <c r="L177" s="46"/>
    </row>
    <row r="178" spans="1:14" ht="15.75" customHeight="1" x14ac:dyDescent="0.25">
      <c r="A178" s="46"/>
      <c r="B178" s="46"/>
      <c r="C178" s="46"/>
      <c r="D178" s="46"/>
      <c r="E178" s="46"/>
      <c r="F178" s="46"/>
      <c r="G178" s="46"/>
      <c r="H178" s="46"/>
      <c r="I178" s="46"/>
      <c r="J178" s="46"/>
      <c r="K178" s="46"/>
      <c r="L178" s="46"/>
    </row>
    <row r="179" spans="1:14" x14ac:dyDescent="0.25">
      <c r="A179" s="46"/>
      <c r="B179" s="564" t="s">
        <v>698</v>
      </c>
      <c r="C179" s="46"/>
      <c r="D179" s="46"/>
      <c r="E179" s="46"/>
      <c r="F179" s="46"/>
      <c r="G179" s="46"/>
      <c r="H179" s="46"/>
      <c r="I179" s="46"/>
      <c r="J179" s="46"/>
      <c r="K179" s="46"/>
      <c r="L179" s="46"/>
    </row>
    <row r="180" spans="1:14" ht="13.5" customHeight="1" x14ac:dyDescent="0.25">
      <c r="A180" s="46"/>
      <c r="B180" s="46"/>
      <c r="C180" s="46"/>
      <c r="D180" s="46"/>
      <c r="E180" s="46"/>
      <c r="F180" s="46"/>
      <c r="G180" s="46"/>
      <c r="H180" s="46"/>
      <c r="I180" s="46"/>
      <c r="J180" s="46"/>
      <c r="K180" s="46"/>
      <c r="L180" s="46"/>
    </row>
    <row r="181" spans="1:14" ht="18" customHeight="1" x14ac:dyDescent="0.25">
      <c r="A181" s="46"/>
      <c r="B181" s="1726" t="s">
        <v>2481</v>
      </c>
      <c r="C181" s="1726"/>
      <c r="D181" s="1726"/>
      <c r="E181" s="460" t="s">
        <v>53</v>
      </c>
      <c r="F181" s="46"/>
      <c r="G181" s="46"/>
      <c r="H181" s="46"/>
      <c r="I181" s="46"/>
      <c r="J181" s="46"/>
      <c r="K181" s="46"/>
      <c r="L181" s="46"/>
      <c r="M181" s="53" t="b">
        <v>0</v>
      </c>
      <c r="N181" s="53" t="b">
        <v>0</v>
      </c>
    </row>
    <row r="182" spans="1:14" ht="18" customHeight="1" x14ac:dyDescent="0.25">
      <c r="A182" s="46"/>
      <c r="B182" s="1648" t="s">
        <v>2482</v>
      </c>
      <c r="C182" s="1649"/>
      <c r="D182" s="1650"/>
      <c r="E182" s="579" t="s">
        <v>53</v>
      </c>
      <c r="F182" s="46"/>
      <c r="G182" s="46"/>
      <c r="H182" s="46"/>
      <c r="I182" s="46"/>
      <c r="J182" s="46"/>
      <c r="K182" s="46"/>
      <c r="L182" s="46"/>
      <c r="M182" s="53" t="b">
        <v>0</v>
      </c>
      <c r="N182" s="53" t="b">
        <v>0</v>
      </c>
    </row>
    <row r="183" spans="1:14" x14ac:dyDescent="0.25">
      <c r="A183" s="46"/>
      <c r="B183" s="46"/>
      <c r="C183" s="46"/>
      <c r="D183" s="46"/>
      <c r="E183" s="46"/>
      <c r="F183" s="46"/>
      <c r="G183" s="46"/>
      <c r="H183" s="46"/>
      <c r="I183" s="46"/>
      <c r="J183" s="46"/>
      <c r="K183" s="46"/>
      <c r="L183" s="46"/>
    </row>
    <row r="184" spans="1:14" ht="18" customHeight="1" x14ac:dyDescent="0.25">
      <c r="A184" s="46"/>
      <c r="B184" s="1666" t="s">
        <v>2249</v>
      </c>
      <c r="C184" s="1666"/>
      <c r="D184" s="121" t="str">
        <f>IF(AND(E181="Yes",E182="Yes"),"Yes","No")</f>
        <v>No</v>
      </c>
      <c r="E184" s="46"/>
      <c r="F184" s="46"/>
      <c r="G184" s="46"/>
      <c r="H184" s="46"/>
      <c r="I184" s="46"/>
      <c r="J184" s="46"/>
      <c r="K184" s="46"/>
      <c r="L184" s="46"/>
    </row>
    <row r="185" spans="1:14" ht="21" customHeight="1" x14ac:dyDescent="0.25">
      <c r="A185" s="46"/>
      <c r="B185" s="46"/>
      <c r="C185" s="46"/>
      <c r="D185" s="46"/>
      <c r="E185" s="46"/>
      <c r="F185" s="46"/>
      <c r="G185" s="46"/>
      <c r="H185" s="46"/>
      <c r="I185" s="46"/>
      <c r="J185" s="46"/>
      <c r="K185" s="46"/>
      <c r="L185" s="46"/>
    </row>
    <row r="186" spans="1:14" x14ac:dyDescent="0.25">
      <c r="A186" s="46"/>
      <c r="B186" s="112" t="s">
        <v>844</v>
      </c>
      <c r="C186" s="46"/>
      <c r="D186" s="46"/>
      <c r="E186" s="46"/>
      <c r="F186" s="46"/>
      <c r="G186" s="46"/>
      <c r="H186" s="46"/>
      <c r="I186" s="46"/>
      <c r="J186" s="46"/>
      <c r="K186" s="46"/>
      <c r="L186" s="46"/>
    </row>
    <row r="187" spans="1:14" ht="9" customHeight="1" x14ac:dyDescent="0.25">
      <c r="A187" s="46"/>
      <c r="B187" s="112"/>
      <c r="C187" s="46"/>
      <c r="D187" s="46"/>
      <c r="E187" s="46"/>
      <c r="F187" s="46"/>
      <c r="G187" s="46"/>
      <c r="H187" s="46"/>
      <c r="I187" s="46"/>
      <c r="J187" s="46"/>
      <c r="K187" s="46"/>
      <c r="L187" s="46"/>
    </row>
    <row r="188" spans="1:14" ht="18" customHeight="1" x14ac:dyDescent="0.25">
      <c r="A188" s="46"/>
      <c r="B188" s="1789" t="s">
        <v>659</v>
      </c>
      <c r="C188" s="1790"/>
      <c r="D188" s="1790"/>
      <c r="E188" s="1790"/>
      <c r="F188" s="1790"/>
      <c r="G188" s="1790"/>
      <c r="H188" s="1791"/>
      <c r="I188" s="46"/>
      <c r="J188" s="46"/>
      <c r="K188" s="46"/>
      <c r="L188" s="46"/>
    </row>
    <row r="189" spans="1:14" ht="18" customHeight="1" x14ac:dyDescent="0.25">
      <c r="A189" s="46"/>
      <c r="B189" s="1792"/>
      <c r="C189" s="1793"/>
      <c r="D189" s="1793"/>
      <c r="E189" s="1793"/>
      <c r="F189" s="1793"/>
      <c r="G189" s="1793"/>
      <c r="H189" s="1794"/>
      <c r="I189" s="46"/>
      <c r="J189" s="46"/>
      <c r="K189" s="46"/>
      <c r="L189" s="46"/>
    </row>
    <row r="190" spans="1:14" x14ac:dyDescent="0.25">
      <c r="A190" s="46"/>
      <c r="B190" s="46"/>
      <c r="C190" s="46"/>
      <c r="D190" s="46"/>
      <c r="E190" s="46"/>
      <c r="F190" s="46"/>
      <c r="G190" s="46"/>
      <c r="H190" s="46"/>
      <c r="I190" s="46"/>
      <c r="J190" s="46"/>
      <c r="K190" s="46"/>
      <c r="L190" s="46"/>
    </row>
    <row r="191" spans="1:14" x14ac:dyDescent="0.25">
      <c r="A191" s="46"/>
      <c r="B191" s="502" t="s">
        <v>658</v>
      </c>
      <c r="C191" s="46"/>
      <c r="D191" s="46"/>
      <c r="E191" s="46"/>
      <c r="F191" s="46"/>
      <c r="G191" s="46"/>
      <c r="H191" s="46"/>
      <c r="I191" s="46"/>
      <c r="J191" s="46"/>
      <c r="K191" s="46"/>
      <c r="L191" s="46"/>
    </row>
    <row r="192" spans="1:14" x14ac:dyDescent="0.25">
      <c r="A192" s="46"/>
      <c r="B192" s="311"/>
      <c r="C192" s="46"/>
      <c r="D192" s="46"/>
      <c r="E192" s="46"/>
      <c r="F192" s="46"/>
      <c r="G192" s="46"/>
      <c r="H192" s="46"/>
      <c r="I192" s="46"/>
      <c r="J192" s="46"/>
      <c r="K192" s="46"/>
      <c r="L192" s="46"/>
    </row>
    <row r="193" spans="1:13" x14ac:dyDescent="0.25">
      <c r="A193" s="46"/>
      <c r="B193" s="553" t="s">
        <v>699</v>
      </c>
      <c r="C193" s="46"/>
      <c r="D193" s="46"/>
      <c r="E193" s="46"/>
      <c r="F193" s="46"/>
      <c r="G193" s="46"/>
      <c r="H193" s="46"/>
      <c r="I193" s="46"/>
      <c r="J193" s="46"/>
      <c r="K193" s="46"/>
      <c r="L193" s="46"/>
    </row>
    <row r="194" spans="1:13" ht="12" customHeight="1" x14ac:dyDescent="0.25">
      <c r="A194" s="46"/>
      <c r="B194" s="46"/>
      <c r="C194" s="46"/>
      <c r="D194" s="46"/>
      <c r="E194" s="46"/>
      <c r="F194" s="46"/>
      <c r="G194" s="46"/>
      <c r="H194" s="46"/>
      <c r="I194" s="46"/>
      <c r="J194" s="46"/>
      <c r="K194" s="46"/>
      <c r="L194" s="46"/>
    </row>
    <row r="195" spans="1:13" ht="16.5" customHeight="1" x14ac:dyDescent="0.25">
      <c r="A195" s="46"/>
      <c r="B195" s="1788" t="s">
        <v>660</v>
      </c>
      <c r="C195" s="1638"/>
      <c r="D195" s="460"/>
      <c r="E195" s="46"/>
      <c r="F195" s="46"/>
      <c r="G195" s="46"/>
      <c r="H195" s="46"/>
      <c r="I195" s="46"/>
      <c r="J195" s="46"/>
      <c r="K195" s="46"/>
      <c r="L195" s="46"/>
    </row>
    <row r="196" spans="1:13" ht="16.5" customHeight="1" x14ac:dyDescent="0.25">
      <c r="A196" s="46"/>
      <c r="B196" s="1788" t="s">
        <v>661</v>
      </c>
      <c r="C196" s="1638"/>
      <c r="D196" s="460"/>
      <c r="E196" s="46"/>
      <c r="F196" s="46"/>
      <c r="G196" s="46"/>
      <c r="H196" s="46"/>
      <c r="I196" s="46"/>
      <c r="J196" s="46"/>
      <c r="K196" s="46"/>
      <c r="L196" s="46"/>
    </row>
    <row r="197" spans="1:13" ht="16.5" customHeight="1" x14ac:dyDescent="0.25">
      <c r="A197" s="46"/>
      <c r="B197" s="1788" t="s">
        <v>692</v>
      </c>
      <c r="C197" s="1638"/>
      <c r="D197" s="460" t="s">
        <v>53</v>
      </c>
      <c r="E197" s="46"/>
      <c r="F197" s="46"/>
      <c r="G197" s="46"/>
      <c r="H197" s="46"/>
      <c r="I197" s="46"/>
      <c r="J197" s="46"/>
      <c r="K197" s="46"/>
      <c r="L197" s="46"/>
    </row>
    <row r="198" spans="1:13" x14ac:dyDescent="0.25">
      <c r="A198" s="46"/>
      <c r="B198" s="46"/>
      <c r="C198" s="46"/>
      <c r="D198" s="46"/>
      <c r="E198" s="46"/>
      <c r="F198" s="46"/>
      <c r="G198" s="46"/>
      <c r="H198" s="46"/>
      <c r="I198" s="46"/>
      <c r="J198" s="46"/>
      <c r="K198" s="46"/>
      <c r="L198" s="46"/>
    </row>
    <row r="199" spans="1:13" ht="18" customHeight="1" x14ac:dyDescent="0.25">
      <c r="A199" s="46"/>
      <c r="B199" s="1666" t="s">
        <v>662</v>
      </c>
      <c r="C199" s="1666"/>
      <c r="D199" s="121" t="str">
        <f>IF(AND(D195&lt;&gt;"",D196=D195,D197&lt;&gt;"Select",D197&lt;&gt;"none"),"Yes","No")</f>
        <v>No</v>
      </c>
      <c r="E199" s="46"/>
      <c r="F199" s="46"/>
      <c r="G199" s="46"/>
      <c r="H199" s="46"/>
      <c r="I199" s="46"/>
      <c r="J199" s="46"/>
      <c r="K199" s="46"/>
      <c r="L199" s="46"/>
    </row>
    <row r="200" spans="1:13" ht="19.5" customHeight="1" x14ac:dyDescent="0.25">
      <c r="A200" s="46"/>
      <c r="B200" s="46"/>
      <c r="C200" s="46"/>
      <c r="D200" s="46"/>
      <c r="E200" s="46"/>
      <c r="F200" s="46"/>
      <c r="G200" s="46"/>
      <c r="H200" s="46"/>
      <c r="I200" s="46"/>
      <c r="J200" s="46"/>
      <c r="K200" s="46"/>
      <c r="L200" s="46"/>
    </row>
    <row r="201" spans="1:13" ht="17.25" customHeight="1" x14ac:dyDescent="0.25">
      <c r="A201" s="1688" t="s">
        <v>84</v>
      </c>
      <c r="B201" s="1688"/>
      <c r="C201" s="1688"/>
      <c r="D201" s="46"/>
      <c r="E201" s="46"/>
      <c r="F201" s="46"/>
      <c r="G201" s="46"/>
      <c r="H201" s="46"/>
      <c r="I201" s="46"/>
      <c r="J201" s="46"/>
      <c r="K201" s="46"/>
      <c r="L201" s="46"/>
    </row>
    <row r="202" spans="1:13" x14ac:dyDescent="0.25">
      <c r="A202" s="46"/>
      <c r="B202" s="46"/>
      <c r="C202" s="46"/>
      <c r="D202" s="46"/>
      <c r="E202" s="46"/>
      <c r="F202" s="46"/>
      <c r="G202" s="46"/>
      <c r="H202" s="46"/>
      <c r="I202" s="46"/>
      <c r="J202" s="46"/>
      <c r="K202" s="46"/>
      <c r="L202" s="46"/>
    </row>
    <row r="203" spans="1:13" ht="21" customHeight="1" x14ac:dyDescent="0.25">
      <c r="A203" s="45"/>
      <c r="B203" s="1641" t="s">
        <v>85</v>
      </c>
      <c r="C203" s="1642"/>
      <c r="D203" s="1642"/>
      <c r="E203" s="1642"/>
      <c r="F203" s="1642"/>
      <c r="G203" s="832" t="s">
        <v>907</v>
      </c>
      <c r="H203" s="1638" t="s">
        <v>908</v>
      </c>
      <c r="I203" s="1639"/>
      <c r="J203" s="46"/>
      <c r="K203" s="46"/>
      <c r="L203" s="46"/>
    </row>
    <row r="204" spans="1:13" ht="24" customHeight="1" x14ac:dyDescent="0.25">
      <c r="A204" s="45"/>
      <c r="B204" s="1648" t="str">
        <f>Submittals!G33</f>
        <v>• Electrical drawings showing the location of task lights and master main switch</v>
      </c>
      <c r="C204" s="1649" t="e">
        <f>Submittals!#REF!</f>
        <v>#REF!</v>
      </c>
      <c r="D204" s="1649"/>
      <c r="E204" s="1649"/>
      <c r="F204" s="1650"/>
      <c r="G204" s="833" t="s">
        <v>53</v>
      </c>
      <c r="H204" s="1689"/>
      <c r="I204" s="1736"/>
      <c r="J204" s="46"/>
      <c r="K204" s="46"/>
      <c r="L204" s="46"/>
      <c r="M204" s="35" t="str">
        <f>IF(OR(B204="/",B204="No evidence required at this submission stage"),"Yes",IF(G204="Submitted","Yes","No"))</f>
        <v>No</v>
      </c>
    </row>
    <row r="205" spans="1:13" ht="30" customHeight="1" x14ac:dyDescent="0.25">
      <c r="A205" s="45"/>
      <c r="B205" s="1648" t="str">
        <f>Submittals!G34</f>
        <v>• Evidence of the task lights, master main switch installed such as photographs, commissioning records, etc.</v>
      </c>
      <c r="C205" s="1649" t="e">
        <f>Submittals!#REF!</f>
        <v>#REF!</v>
      </c>
      <c r="D205" s="1649"/>
      <c r="E205" s="1649"/>
      <c r="F205" s="1650"/>
      <c r="G205" s="833" t="s">
        <v>53</v>
      </c>
      <c r="H205" s="1689"/>
      <c r="I205" s="1736"/>
      <c r="J205" s="46"/>
      <c r="K205" s="46"/>
      <c r="L205" s="46"/>
      <c r="M205" s="35" t="str">
        <f>IF(OR(B205="/",B205="No evidence required at this submission stage"),"Yes",IF(G205="Submitted","Yes","No"))</f>
        <v>No</v>
      </c>
    </row>
    <row r="206" spans="1:13" ht="18.75" customHeight="1" x14ac:dyDescent="0.25">
      <c r="A206" s="46"/>
      <c r="B206" s="46"/>
      <c r="C206" s="46"/>
      <c r="D206" s="46"/>
      <c r="E206" s="46"/>
      <c r="F206" s="46"/>
      <c r="G206" s="46"/>
      <c r="H206" s="46"/>
      <c r="I206" s="46"/>
      <c r="J206" s="46"/>
      <c r="K206" s="46"/>
      <c r="L206" s="46"/>
    </row>
    <row r="207" spans="1:13" ht="17.25" customHeight="1" x14ac:dyDescent="0.25">
      <c r="A207" s="1688" t="s">
        <v>5</v>
      </c>
      <c r="B207" s="1688"/>
      <c r="C207" s="1688"/>
      <c r="D207" s="46"/>
      <c r="E207" s="46"/>
      <c r="F207" s="46"/>
      <c r="G207" s="46"/>
      <c r="H207" s="46"/>
      <c r="I207" s="46"/>
      <c r="J207" s="46"/>
      <c r="K207" s="46"/>
      <c r="L207" s="46"/>
    </row>
    <row r="208" spans="1:13" ht="17.25" customHeight="1" x14ac:dyDescent="0.25">
      <c r="A208" s="46"/>
      <c r="B208" s="46"/>
      <c r="C208" s="46"/>
      <c r="D208" s="46"/>
      <c r="E208" s="46"/>
      <c r="F208" s="46"/>
      <c r="G208" s="46"/>
      <c r="H208" s="46"/>
      <c r="I208" s="46"/>
      <c r="J208" s="46"/>
      <c r="K208" s="46"/>
      <c r="L208" s="46"/>
    </row>
    <row r="209" spans="1:12" ht="18" customHeight="1" x14ac:dyDescent="0.25">
      <c r="A209" s="46"/>
      <c r="B209" s="120" t="s">
        <v>16</v>
      </c>
      <c r="C209" s="8">
        <f>IF(OR(D184="Yes",D199="Yes"),1,0)</f>
        <v>0</v>
      </c>
      <c r="D209" s="46"/>
      <c r="E209" s="46"/>
      <c r="F209" s="46"/>
      <c r="G209" s="46"/>
      <c r="H209" s="46"/>
      <c r="I209" s="46"/>
      <c r="J209" s="46"/>
      <c r="K209" s="46"/>
      <c r="L209" s="46"/>
    </row>
    <row r="210" spans="1:12" ht="18" customHeight="1" x14ac:dyDescent="0.25">
      <c r="A210" s="46"/>
      <c r="B210" s="120" t="s">
        <v>133</v>
      </c>
      <c r="C210" s="8" t="str">
        <f>IF(AND(COUNTIF(M204:M205,"Yes")=2,C209&gt;0),"Yes","No")</f>
        <v>No</v>
      </c>
      <c r="D210" s="46"/>
      <c r="E210" s="46"/>
      <c r="F210" s="46"/>
      <c r="G210" s="46"/>
      <c r="H210" s="46"/>
      <c r="I210" s="46"/>
      <c r="J210" s="46"/>
      <c r="K210" s="46"/>
      <c r="L210" s="46"/>
    </row>
    <row r="211" spans="1:12" ht="21" customHeight="1" x14ac:dyDescent="0.25">
      <c r="A211" s="46"/>
      <c r="B211" s="46"/>
      <c r="C211" s="46"/>
      <c r="D211" s="46"/>
      <c r="E211" s="46"/>
      <c r="F211" s="46"/>
      <c r="G211" s="46"/>
      <c r="H211" s="46"/>
      <c r="I211" s="46"/>
      <c r="J211" s="46"/>
      <c r="K211" s="46"/>
      <c r="L211" s="46"/>
    </row>
    <row r="212" spans="1:12" hidden="1" x14ac:dyDescent="0.25"/>
    <row r="213" spans="1:12" hidden="1" x14ac:dyDescent="0.25"/>
    <row r="214" spans="1:12" hidden="1" x14ac:dyDescent="0.25"/>
    <row r="215" spans="1:12" hidden="1" x14ac:dyDescent="0.25"/>
    <row r="216" spans="1:12" hidden="1" x14ac:dyDescent="0.25"/>
    <row r="217" spans="1:12" hidden="1" x14ac:dyDescent="0.25"/>
    <row r="218" spans="1:12" hidden="1" x14ac:dyDescent="0.25"/>
    <row r="219" spans="1:12" hidden="1" x14ac:dyDescent="0.25"/>
    <row r="220" spans="1:12" hidden="1" x14ac:dyDescent="0.25"/>
    <row r="221" spans="1:12" hidden="1" x14ac:dyDescent="0.25"/>
    <row r="222" spans="1:12" hidden="1" x14ac:dyDescent="0.25"/>
    <row r="223" spans="1:12" hidden="1" x14ac:dyDescent="0.25"/>
    <row r="224" spans="1:12"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sheetData>
  <sheetProtection algorithmName="SHA-512" hashValue="lbgin2bIj1/eCikCHa9ymWuEslvCdjAeOroCv4ixrkpZD4WAe0XqUAmkUAHPTD9KZgvqjG4xNp/89bghTvnyFQ==" saltValue="4iX/z7Qyfhr34UiafBygMw==" spinCount="100000" sheet="1" objects="1" scenarios="1" formatRows="0"/>
  <mergeCells count="139">
    <mergeCell ref="H87:I87"/>
    <mergeCell ref="H88:I88"/>
    <mergeCell ref="H89:I89"/>
    <mergeCell ref="H90:I90"/>
    <mergeCell ref="H91:I91"/>
    <mergeCell ref="H92:I92"/>
    <mergeCell ref="H93:I93"/>
    <mergeCell ref="H94:I94"/>
    <mergeCell ref="H95:I95"/>
    <mergeCell ref="H81:I81"/>
    <mergeCell ref="H82:I82"/>
    <mergeCell ref="H83:I83"/>
    <mergeCell ref="H84:I84"/>
    <mergeCell ref="H85:I85"/>
    <mergeCell ref="H86:I86"/>
    <mergeCell ref="B65:J66"/>
    <mergeCell ref="B63:I63"/>
    <mergeCell ref="B68:D68"/>
    <mergeCell ref="E68:F68"/>
    <mergeCell ref="E151:F151"/>
    <mergeCell ref="E152:F152"/>
    <mergeCell ref="E153:F153"/>
    <mergeCell ref="E154:F154"/>
    <mergeCell ref="E155:F155"/>
    <mergeCell ref="B60:C60"/>
    <mergeCell ref="B58:C58"/>
    <mergeCell ref="B70:C70"/>
    <mergeCell ref="B71:C71"/>
    <mergeCell ref="B72:C72"/>
    <mergeCell ref="B73:C73"/>
    <mergeCell ref="B120:I120"/>
    <mergeCell ref="B121:I121"/>
    <mergeCell ref="E135:F135"/>
    <mergeCell ref="E136:F136"/>
    <mergeCell ref="E137:F137"/>
    <mergeCell ref="E138:F138"/>
    <mergeCell ref="E139:F139"/>
    <mergeCell ref="E140:F140"/>
    <mergeCell ref="E141:F141"/>
    <mergeCell ref="E142:F142"/>
    <mergeCell ref="E143:F143"/>
    <mergeCell ref="E144:F144"/>
    <mergeCell ref="H80:I80"/>
    <mergeCell ref="A1:L1"/>
    <mergeCell ref="H2:J4"/>
    <mergeCell ref="B61:C61"/>
    <mergeCell ref="A5:L7"/>
    <mergeCell ref="A9:L9"/>
    <mergeCell ref="B51:C51"/>
    <mergeCell ref="B43:C43"/>
    <mergeCell ref="B44:C44"/>
    <mergeCell ref="B45:C45"/>
    <mergeCell ref="B47:C47"/>
    <mergeCell ref="B48:C48"/>
    <mergeCell ref="B11:E11"/>
    <mergeCell ref="B13:E13"/>
    <mergeCell ref="B15:E15"/>
    <mergeCell ref="B17:E17"/>
    <mergeCell ref="B30:G32"/>
    <mergeCell ref="B38:C38"/>
    <mergeCell ref="A20:L20"/>
    <mergeCell ref="A53:C53"/>
    <mergeCell ref="B18:E18"/>
    <mergeCell ref="B40:C40"/>
    <mergeCell ref="B41:C41"/>
    <mergeCell ref="B42:C42"/>
    <mergeCell ref="B39:D39"/>
    <mergeCell ref="A207:C207"/>
    <mergeCell ref="A159:C159"/>
    <mergeCell ref="A171:L171"/>
    <mergeCell ref="A173:C173"/>
    <mergeCell ref="A201:C201"/>
    <mergeCell ref="B197:C197"/>
    <mergeCell ref="B199:C199"/>
    <mergeCell ref="B184:C184"/>
    <mergeCell ref="B188:H189"/>
    <mergeCell ref="B195:C195"/>
    <mergeCell ref="B181:D181"/>
    <mergeCell ref="B204:F204"/>
    <mergeCell ref="B205:F205"/>
    <mergeCell ref="H203:I203"/>
    <mergeCell ref="H204:I204"/>
    <mergeCell ref="B203:F203"/>
    <mergeCell ref="B196:C196"/>
    <mergeCell ref="H205:I205"/>
    <mergeCell ref="B164:F164"/>
    <mergeCell ref="B162:F162"/>
    <mergeCell ref="B163:F163"/>
    <mergeCell ref="H163:I163"/>
    <mergeCell ref="A166:C166"/>
    <mergeCell ref="H161:I161"/>
    <mergeCell ref="B50:C50"/>
    <mergeCell ref="B49:C49"/>
    <mergeCell ref="B37:D37"/>
    <mergeCell ref="E46:J47"/>
    <mergeCell ref="B55:H56"/>
    <mergeCell ref="H103:I103"/>
    <mergeCell ref="B182:D182"/>
    <mergeCell ref="B131:I131"/>
    <mergeCell ref="B122:I122"/>
    <mergeCell ref="B125:I125"/>
    <mergeCell ref="B128:I128"/>
    <mergeCell ref="B127:I127"/>
    <mergeCell ref="B99:D99"/>
    <mergeCell ref="H106:I106"/>
    <mergeCell ref="B103:F103"/>
    <mergeCell ref="B59:C59"/>
    <mergeCell ref="B98:D98"/>
    <mergeCell ref="A113:L113"/>
    <mergeCell ref="A101:C101"/>
    <mergeCell ref="B123:I123"/>
    <mergeCell ref="B124:I124"/>
    <mergeCell ref="B129:I129"/>
    <mergeCell ref="B130:I130"/>
    <mergeCell ref="E150:F150"/>
    <mergeCell ref="E145:F145"/>
    <mergeCell ref="E146:F146"/>
    <mergeCell ref="E147:F147"/>
    <mergeCell ref="E148:F148"/>
    <mergeCell ref="E149:F149"/>
    <mergeCell ref="H162:I162"/>
    <mergeCell ref="H164:I164"/>
    <mergeCell ref="B12:H12"/>
    <mergeCell ref="B14:H14"/>
    <mergeCell ref="B16:H16"/>
    <mergeCell ref="A22:C22"/>
    <mergeCell ref="B105:F105"/>
    <mergeCell ref="H105:I105"/>
    <mergeCell ref="B157:C157"/>
    <mergeCell ref="B161:F161"/>
    <mergeCell ref="B77:H78"/>
    <mergeCell ref="B97:D97"/>
    <mergeCell ref="H104:I104"/>
    <mergeCell ref="B104:F104"/>
    <mergeCell ref="B106:F106"/>
    <mergeCell ref="A108:C108"/>
    <mergeCell ref="A115:C115"/>
    <mergeCell ref="B119:I119"/>
    <mergeCell ref="B46:D46"/>
  </mergeCells>
  <conditionalFormatting sqref="H162:I162">
    <cfRule type="expression" dxfId="358" priority="24">
      <formula>$B162="No evidence required at this submission stage"</formula>
    </cfRule>
  </conditionalFormatting>
  <conditionalFormatting sqref="H164:I164">
    <cfRule type="expression" dxfId="357" priority="23">
      <formula>$B164="No evidence required at this submission stage"</formula>
    </cfRule>
  </conditionalFormatting>
  <conditionalFormatting sqref="G104:I104 G106:I106">
    <cfRule type="expression" dxfId="356" priority="19">
      <formula>$B104="/"</formula>
    </cfRule>
    <cfRule type="expression" dxfId="355" priority="20">
      <formula>$B104="No evidence required at this submission stage"</formula>
    </cfRule>
  </conditionalFormatting>
  <conditionalFormatting sqref="G162:I162 G164:I164">
    <cfRule type="expression" dxfId="354" priority="13">
      <formula>$B162="/"</formula>
    </cfRule>
    <cfRule type="expression" dxfId="353" priority="14">
      <formula>$B162="No evidence required at this submission stage"</formula>
    </cfRule>
  </conditionalFormatting>
  <conditionalFormatting sqref="H204:I204">
    <cfRule type="expression" dxfId="352" priority="10">
      <formula>$B204="No evidence required at this submission stage"</formula>
    </cfRule>
  </conditionalFormatting>
  <conditionalFormatting sqref="H205:I205">
    <cfRule type="expression" dxfId="351" priority="9">
      <formula>$B205="No evidence required at this submission stage"</formula>
    </cfRule>
  </conditionalFormatting>
  <conditionalFormatting sqref="G204:I205">
    <cfRule type="expression" dxfId="350" priority="7">
      <formula>$B204="/"</formula>
    </cfRule>
    <cfRule type="expression" dxfId="349" priority="8">
      <formula>$B204="No evidence required at this submission stage"</formula>
    </cfRule>
  </conditionalFormatting>
  <conditionalFormatting sqref="G105:I105">
    <cfRule type="expression" dxfId="348" priority="5">
      <formula>$B105="/"</formula>
    </cfRule>
    <cfRule type="expression" dxfId="347" priority="6">
      <formula>$B105="No evidence required at this submission stage"</formula>
    </cfRule>
  </conditionalFormatting>
  <conditionalFormatting sqref="H163:I163">
    <cfRule type="expression" dxfId="346" priority="4">
      <formula>$B163="No evidence required at this submission stage"</formula>
    </cfRule>
  </conditionalFormatting>
  <conditionalFormatting sqref="G163:I163">
    <cfRule type="expression" dxfId="345" priority="2">
      <formula>$B163="/"</formula>
    </cfRule>
    <cfRule type="expression" dxfId="344" priority="3">
      <formula>$B163="No evidence required at this submission stage"</formula>
    </cfRule>
  </conditionalFormatting>
  <conditionalFormatting sqref="I136:I155">
    <cfRule type="expression" dxfId="343" priority="1">
      <formula>$D136&lt;&gt;"timer controls"</formula>
    </cfRule>
  </conditionalFormatting>
  <dataValidations xWindow="700" yWindow="606" count="15">
    <dataValidation allowBlank="1" showInputMessage="1" showErrorMessage="1" prompt="Complete if any._x000a_Additional Power can be for ballasts, control devices, current regulators..." sqref="F81:F95" xr:uid="{00000000-0002-0000-1000-000000000000}"/>
    <dataValidation type="list" allowBlank="1" showInputMessage="1" showErrorMessage="1" sqref="D59:H59" xr:uid="{00000000-0002-0000-1000-000001000000}">
      <formula1>space_types</formula1>
    </dataValidation>
    <dataValidation allowBlank="1" showInputMessage="1" showErrorMessage="1" prompt="Name of the model of light fixture" sqref="B81:B95" xr:uid="{00000000-0002-0000-1000-000002000000}"/>
    <dataValidation allowBlank="1" showInputMessage="1" showErrorMessage="1" prompt="Light fixture type, such as: T5 fluorescent, LED, CFL, halogen, etc." sqref="C81:C95" xr:uid="{00000000-0002-0000-1000-000003000000}"/>
    <dataValidation allowBlank="1" showInputMessage="1" showErrorMessage="1" prompt="Individual power of the light fixture" sqref="E81:E95" xr:uid="{00000000-0002-0000-1000-000004000000}"/>
    <dataValidation type="list" allowBlank="1" showInputMessage="1" showErrorMessage="1" sqref="D197" xr:uid="{00000000-0002-0000-1000-000005000000}">
      <formula1>"Select,switching,dimming,switching and dimming,none"</formula1>
    </dataValidation>
    <dataValidation type="list" allowBlank="1" showInputMessage="1" showErrorMessage="1" sqref="H136:H155" xr:uid="{00000000-0002-0000-1000-000006000000}">
      <formula1>"Select,manual switch, occupancy sensor, vacancy sensor + manual switch"</formula1>
    </dataValidation>
    <dataValidation type="list" allowBlank="1" showInputMessage="1" showErrorMessage="1" sqref="E181:E182" xr:uid="{00000000-0002-0000-1000-000007000000}">
      <formula1>"Select,Yes,No"</formula1>
    </dataValidation>
    <dataValidation type="list" allowBlank="1" showInputMessage="1" showErrorMessage="1" sqref="G104:G106 G204:G205 G162:G164" xr:uid="{00000000-0002-0000-1000-000008000000}">
      <formula1>"Select,Submitted,Not submitted"</formula1>
    </dataValidation>
    <dataValidation allowBlank="1" showInputMessage="1" showErrorMessage="1" prompt="Enter the name of the separate space." sqref="B136:B155" xr:uid="{00000000-0002-0000-1000-00000A000000}"/>
    <dataValidation type="list" allowBlank="1" showInputMessage="1" showErrorMessage="1" sqref="D136:D155" xr:uid="{43BBDE65-770E-4972-B109-68F2BCAD15A8}">
      <formula1>"Select,timer controls, motion sensors, time delay switch,signal from another control/system,none"</formula1>
    </dataValidation>
    <dataValidation allowBlank="1" showInputMessage="1" showErrorMessage="1" prompt="Enter details showing that the automatic lighting shutoff controls installed meet the above-listed requirements (e.g. timer control used for a total area of less than 2500 m2 and for one floor only.)" sqref="E136:F155" xr:uid="{8AF3FDF4-BE76-40BA-B8D9-6BC35C3F4165}"/>
    <dataValidation type="list" allowBlank="1" showInputMessage="1" showErrorMessage="1" sqref="I136:I155" xr:uid="{1DCF2E20-8E0D-4315-8349-423897525693}">
      <formula1>"Select,Yes,No,lighting not needed beyond the schedule"</formula1>
    </dataValidation>
    <dataValidation type="decimal" allowBlank="1" showInputMessage="1" showErrorMessage="1" sqref="D72:J72" xr:uid="{B070DBFA-93D1-4D5D-856B-C7C29ADB5AFF}">
      <formula1>0</formula1>
      <formula2>50</formula2>
    </dataValidation>
    <dataValidation type="list" allowBlank="1" showInputMessage="1" showErrorMessage="1" sqref="E68:F68" xr:uid="{0B48B096-FC32-46E0-8A60-B246CE79D17E}">
      <formula1>"Select,Building area method following ASHRAE 90.1,Space-by-space method following Table A.1"</formula1>
    </dataValidation>
  </dataValidations>
  <hyperlinks>
    <hyperlink ref="L3" location="'Energy BPC'!B3" tooltip="E-BPC" display="E-BPC" xr:uid="{00000000-0004-0000-1000-000000000000}"/>
    <hyperlink ref="K2" location="'E-1 Space cooling'!B3" tooltip="E-1" display="E-1" xr:uid="{00000000-0004-0000-1000-000001000000}"/>
    <hyperlink ref="K3" location="'E-3 Energy Efficient Appliances'!B3" tooltip="E-3" display="E-3" xr:uid="{00000000-0004-0000-1000-000002000000}"/>
    <hyperlink ref="K4" location="'E-4 Energy Monitor'!B3" tooltip="E-4" display="E-4" xr:uid="{00000000-0004-0000-1000-000003000000}"/>
  </hyperlinks>
  <pageMargins left="0.7" right="0.7" top="0.75" bottom="0.75" header="0.3" footer="0.3"/>
  <pageSetup orientation="portrait" horizont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1">
    <tabColor rgb="FF58AB27"/>
  </sheetPr>
  <dimension ref="A1:O332"/>
  <sheetViews>
    <sheetView showGridLines="0" showRowColHeaders="0" zoomScaleNormal="100" workbookViewId="0">
      <pane ySplit="8" topLeftCell="A33" activePane="bottomLeft" state="frozen"/>
      <selection activeCell="E6" sqref="E6:F6"/>
      <selection pane="bottomLeft" activeCell="B40" sqref="B40:E44"/>
    </sheetView>
  </sheetViews>
  <sheetFormatPr defaultColWidth="0" defaultRowHeight="15" zeroHeight="1" x14ac:dyDescent="0.25"/>
  <cols>
    <col min="1" max="1" width="4.140625" style="35" customWidth="1"/>
    <col min="2" max="2" width="19.85546875" style="35" customWidth="1"/>
    <col min="3" max="3" width="17.7109375" style="35" customWidth="1"/>
    <col min="4" max="4" width="14.85546875" style="35" customWidth="1"/>
    <col min="5" max="5" width="20.7109375" style="35" customWidth="1"/>
    <col min="6" max="6" width="18" style="35" customWidth="1"/>
    <col min="7" max="7" width="19.42578125" style="35" customWidth="1"/>
    <col min="8" max="8" width="21.5703125" style="35" customWidth="1"/>
    <col min="9" max="9" width="13.5703125" style="35" customWidth="1"/>
    <col min="10" max="10" width="12.42578125" style="35" customWidth="1"/>
    <col min="11" max="12" width="7.7109375" style="35" customWidth="1"/>
    <col min="13" max="13" width="50.28515625" style="35" hidden="1" customWidth="1"/>
    <col min="14" max="14" width="9.140625" style="35" hidden="1" customWidth="1"/>
    <col min="15" max="15" width="35.28515625" style="35" hidden="1" customWidth="1"/>
    <col min="16" max="16384" width="9.140625" style="35" hidden="1"/>
  </cols>
  <sheetData>
    <row r="1" spans="1:13" ht="25.5" customHeight="1" x14ac:dyDescent="0.25">
      <c r="A1" s="1743" t="s">
        <v>252</v>
      </c>
      <c r="B1" s="1743"/>
      <c r="C1" s="1743"/>
      <c r="D1" s="1743"/>
      <c r="E1" s="1743"/>
      <c r="F1" s="1743"/>
      <c r="G1" s="1743"/>
      <c r="H1" s="1743"/>
      <c r="I1" s="1743"/>
      <c r="J1" s="1743"/>
      <c r="K1" s="1743"/>
      <c r="L1" s="1743"/>
    </row>
    <row r="2" spans="1:13" ht="15" customHeight="1" x14ac:dyDescent="0.25">
      <c r="A2" s="46"/>
      <c r="B2" s="46"/>
      <c r="C2" s="46"/>
      <c r="D2" s="46"/>
      <c r="E2" s="46"/>
      <c r="F2" s="45"/>
      <c r="G2" s="45"/>
      <c r="H2" s="1753" t="s">
        <v>139</v>
      </c>
      <c r="I2" s="1753"/>
      <c r="J2" s="1753"/>
      <c r="K2" s="122" t="s">
        <v>19</v>
      </c>
      <c r="L2" s="122"/>
    </row>
    <row r="3" spans="1:13" ht="15" customHeight="1" x14ac:dyDescent="0.25">
      <c r="A3" s="46"/>
      <c r="B3" s="46"/>
      <c r="C3" s="46"/>
      <c r="D3" s="46"/>
      <c r="E3" s="46"/>
      <c r="F3" s="45"/>
      <c r="G3" s="45"/>
      <c r="H3" s="1753"/>
      <c r="I3" s="1753"/>
      <c r="J3" s="1753"/>
      <c r="K3" s="122" t="s">
        <v>20</v>
      </c>
      <c r="L3" s="122" t="s">
        <v>1648</v>
      </c>
    </row>
    <row r="4" spans="1:13" ht="15" customHeight="1" x14ac:dyDescent="0.25">
      <c r="A4" s="46"/>
      <c r="B4" s="46"/>
      <c r="C4" s="46"/>
      <c r="D4" s="46"/>
      <c r="E4" s="46"/>
      <c r="F4" s="45"/>
      <c r="G4" s="45"/>
      <c r="H4" s="1835"/>
      <c r="I4" s="1835"/>
      <c r="J4" s="1835"/>
      <c r="K4" s="122" t="s">
        <v>22</v>
      </c>
      <c r="L4" s="122"/>
    </row>
    <row r="5" spans="1:13" ht="20.25" customHeight="1" x14ac:dyDescent="0.25">
      <c r="A5" s="1656" t="s">
        <v>2624</v>
      </c>
      <c r="B5" s="1657"/>
      <c r="C5" s="1657"/>
      <c r="D5" s="1657"/>
      <c r="E5" s="1657"/>
      <c r="F5" s="1657"/>
      <c r="G5" s="1657"/>
      <c r="H5" s="1657"/>
      <c r="I5" s="1657"/>
      <c r="J5" s="1657"/>
      <c r="K5" s="1657"/>
      <c r="L5" s="1658"/>
    </row>
    <row r="6" spans="1:13" ht="20.25" customHeight="1" x14ac:dyDescent="0.25">
      <c r="A6" s="1659"/>
      <c r="B6" s="1660"/>
      <c r="C6" s="1660"/>
      <c r="D6" s="1660"/>
      <c r="E6" s="1660"/>
      <c r="F6" s="1660"/>
      <c r="G6" s="1660"/>
      <c r="H6" s="1660"/>
      <c r="I6" s="1660"/>
      <c r="J6" s="1660"/>
      <c r="K6" s="1660"/>
      <c r="L6" s="1661"/>
    </row>
    <row r="7" spans="1:13" ht="20.25" customHeight="1" x14ac:dyDescent="0.25">
      <c r="A7" s="1662"/>
      <c r="B7" s="1663"/>
      <c r="C7" s="1663"/>
      <c r="D7" s="1663"/>
      <c r="E7" s="1663"/>
      <c r="F7" s="1663"/>
      <c r="G7" s="1663"/>
      <c r="H7" s="1663"/>
      <c r="I7" s="1663"/>
      <c r="J7" s="1663"/>
      <c r="K7" s="1663"/>
      <c r="L7" s="1664"/>
    </row>
    <row r="8" spans="1:13" ht="12" customHeight="1" x14ac:dyDescent="0.25">
      <c r="A8" s="45"/>
      <c r="B8" s="46"/>
      <c r="C8" s="46"/>
      <c r="D8" s="46"/>
      <c r="E8" s="46"/>
      <c r="F8" s="45"/>
      <c r="G8" s="45"/>
      <c r="H8" s="45"/>
      <c r="I8" s="45"/>
      <c r="J8" s="45"/>
      <c r="K8" s="45"/>
      <c r="L8" s="45"/>
    </row>
    <row r="9" spans="1:13" ht="18" customHeight="1" x14ac:dyDescent="0.25">
      <c r="A9" s="1667" t="s">
        <v>82</v>
      </c>
      <c r="B9" s="1667"/>
      <c r="C9" s="1667"/>
      <c r="D9" s="1667"/>
      <c r="E9" s="1667"/>
      <c r="F9" s="1667"/>
      <c r="G9" s="1667"/>
      <c r="H9" s="1667"/>
      <c r="I9" s="1667"/>
      <c r="J9" s="1667"/>
      <c r="K9" s="1667"/>
      <c r="L9" s="974"/>
    </row>
    <row r="10" spans="1:13" x14ac:dyDescent="0.25">
      <c r="A10" s="45"/>
      <c r="B10" s="46"/>
      <c r="C10" s="46"/>
      <c r="D10" s="46"/>
      <c r="E10" s="46"/>
      <c r="F10" s="45"/>
      <c r="G10" s="45"/>
      <c r="H10" s="45"/>
      <c r="I10" s="45"/>
      <c r="J10" s="45"/>
      <c r="K10" s="45"/>
      <c r="L10" s="45"/>
    </row>
    <row r="11" spans="1:13" ht="21" customHeight="1" x14ac:dyDescent="0.25">
      <c r="A11" s="45"/>
      <c r="B11" s="1795" t="s">
        <v>83</v>
      </c>
      <c r="C11" s="1796"/>
      <c r="D11" s="1796"/>
      <c r="E11" s="1796"/>
      <c r="F11" s="263" t="s">
        <v>64</v>
      </c>
      <c r="G11" s="263" t="s">
        <v>16</v>
      </c>
      <c r="H11" s="70" t="s">
        <v>133</v>
      </c>
      <c r="I11" s="45"/>
      <c r="J11" s="45"/>
      <c r="K11" s="45"/>
      <c r="L11" s="45"/>
    </row>
    <row r="12" spans="1:13" ht="52.5" customHeight="1" x14ac:dyDescent="0.25">
      <c r="A12" s="45"/>
      <c r="B12" s="1832" t="s">
        <v>324</v>
      </c>
      <c r="C12" s="1833"/>
      <c r="D12" s="1833"/>
      <c r="E12" s="1834"/>
      <c r="F12" s="49">
        <v>4</v>
      </c>
      <c r="G12" s="49">
        <f ca="1">C71</f>
        <v>0</v>
      </c>
      <c r="H12" s="49" t="str">
        <f ca="1">C72</f>
        <v>No</v>
      </c>
      <c r="I12" s="45"/>
      <c r="J12" s="45"/>
      <c r="K12" s="45"/>
      <c r="L12" s="45"/>
      <c r="M12" s="35" t="str">
        <f ca="1">IF(G12&lt;&gt;0,IF(H12="No","No","Yes"),"Yes")</f>
        <v>Yes</v>
      </c>
    </row>
    <row r="13" spans="1:13" ht="28.5" customHeight="1" x14ac:dyDescent="0.25">
      <c r="A13" s="45"/>
      <c r="B13" s="1832" t="s">
        <v>325</v>
      </c>
      <c r="C13" s="1833"/>
      <c r="D13" s="1833"/>
      <c r="E13" s="1834"/>
      <c r="F13" s="281">
        <v>1</v>
      </c>
      <c r="G13" s="281">
        <f>C114</f>
        <v>0</v>
      </c>
      <c r="H13" s="281" t="str">
        <f>C115</f>
        <v>No</v>
      </c>
      <c r="I13" s="45"/>
      <c r="J13" s="45"/>
      <c r="K13" s="45"/>
      <c r="L13" s="45"/>
      <c r="M13" s="35" t="str">
        <f>IF(G13&lt;&gt;0,IF(H13="No","No","Yes"),"Yes")</f>
        <v>Yes</v>
      </c>
    </row>
    <row r="14" spans="1:13" ht="18" customHeight="1" x14ac:dyDescent="0.25">
      <c r="A14" s="45"/>
      <c r="B14" s="1810" t="s">
        <v>25</v>
      </c>
      <c r="C14" s="1811"/>
      <c r="D14" s="1811"/>
      <c r="E14" s="1812"/>
      <c r="F14" s="498">
        <v>4</v>
      </c>
      <c r="G14" s="498">
        <f ca="1">MIN(4,SUM(G12:G13))</f>
        <v>0</v>
      </c>
      <c r="H14" s="498" t="str">
        <f ca="1">IF(COUNTIF(H12:H13,"No")=2,"No",IF(COUNTIF(M12:M13,"Yes")=2,"Yes","No"))</f>
        <v>No</v>
      </c>
      <c r="I14" s="45"/>
      <c r="J14" s="45"/>
      <c r="K14" s="45"/>
      <c r="L14" s="45"/>
    </row>
    <row r="15" spans="1:13" ht="15" customHeight="1" x14ac:dyDescent="0.25">
      <c r="A15" s="46"/>
      <c r="B15" s="46"/>
      <c r="C15" s="46"/>
      <c r="D15" s="46"/>
      <c r="E15" s="46"/>
      <c r="F15" s="45"/>
      <c r="G15" s="630" t="str">
        <f ca="1">IFERROR(IF(SUM(G12:G13)&gt;4,"→ One EP-1 point can be targeted",""),"")</f>
        <v/>
      </c>
      <c r="H15" s="45"/>
      <c r="I15" s="45"/>
      <c r="J15" s="45"/>
      <c r="K15" s="45"/>
      <c r="L15" s="45"/>
    </row>
    <row r="16" spans="1:13" ht="18" customHeight="1" x14ac:dyDescent="0.25">
      <c r="A16" s="1667" t="s">
        <v>327</v>
      </c>
      <c r="B16" s="1667"/>
      <c r="C16" s="1667"/>
      <c r="D16" s="1667"/>
      <c r="E16" s="1667"/>
      <c r="F16" s="1667"/>
      <c r="G16" s="1667"/>
      <c r="H16" s="1667"/>
      <c r="I16" s="1667"/>
      <c r="J16" s="1667"/>
      <c r="K16" s="1667"/>
      <c r="L16" s="1667"/>
    </row>
    <row r="17" spans="1:13" ht="15" customHeight="1" x14ac:dyDescent="0.25">
      <c r="A17" s="46"/>
      <c r="B17" s="46"/>
      <c r="C17" s="46"/>
      <c r="D17" s="46"/>
      <c r="E17" s="46"/>
      <c r="F17" s="45"/>
      <c r="G17" s="45"/>
      <c r="H17" s="45"/>
      <c r="I17" s="45"/>
      <c r="J17" s="45"/>
      <c r="K17" s="45"/>
      <c r="L17" s="45"/>
    </row>
    <row r="18" spans="1:13" ht="16.5" customHeight="1" x14ac:dyDescent="0.25">
      <c r="A18" s="1688" t="s">
        <v>326</v>
      </c>
      <c r="B18" s="1688"/>
      <c r="C18" s="1688"/>
      <c r="D18" s="46"/>
      <c r="E18" s="46"/>
      <c r="F18" s="45"/>
      <c r="G18" s="45"/>
      <c r="H18" s="45"/>
      <c r="I18" s="45"/>
      <c r="J18" s="45"/>
      <c r="K18" s="45"/>
      <c r="L18" s="45"/>
    </row>
    <row r="19" spans="1:13" ht="15" customHeight="1" x14ac:dyDescent="0.25">
      <c r="A19" s="46"/>
      <c r="B19" s="46"/>
      <c r="C19" s="46"/>
      <c r="D19" s="46"/>
      <c r="E19" s="46"/>
      <c r="F19" s="45"/>
      <c r="G19" s="45"/>
      <c r="H19" s="45"/>
      <c r="I19" s="45"/>
      <c r="J19" s="45"/>
      <c r="K19" s="45"/>
      <c r="L19" s="46"/>
    </row>
    <row r="20" spans="1:13" ht="15" customHeight="1" x14ac:dyDescent="0.25">
      <c r="A20" s="46"/>
      <c r="B20" s="510" t="s">
        <v>693</v>
      </c>
      <c r="C20" s="46"/>
      <c r="D20" s="46"/>
      <c r="E20" s="46"/>
      <c r="F20" s="45"/>
      <c r="G20" s="45"/>
      <c r="H20" s="45"/>
      <c r="I20" s="45"/>
      <c r="J20" s="45"/>
      <c r="K20" s="45"/>
      <c r="L20" s="46"/>
    </row>
    <row r="21" spans="1:13" ht="12" customHeight="1" x14ac:dyDescent="0.25">
      <c r="A21" s="46"/>
      <c r="B21" s="46"/>
      <c r="C21" s="46"/>
      <c r="D21" s="46"/>
      <c r="E21" s="46"/>
      <c r="F21" s="45"/>
      <c r="G21" s="45"/>
      <c r="H21" s="45"/>
      <c r="I21" s="45"/>
      <c r="J21" s="45"/>
      <c r="K21" s="45"/>
      <c r="L21" s="46"/>
    </row>
    <row r="22" spans="1:13" ht="27.75" customHeight="1" x14ac:dyDescent="0.25">
      <c r="A22" s="46"/>
      <c r="B22" s="1826" t="s">
        <v>1733</v>
      </c>
      <c r="C22" s="1827"/>
      <c r="D22" s="1827"/>
      <c r="E22" s="1827"/>
      <c r="F22" s="1827"/>
      <c r="G22" s="1827"/>
      <c r="H22" s="1827"/>
      <c r="I22" s="1827"/>
      <c r="J22" s="1828"/>
      <c r="K22" s="45"/>
      <c r="L22" s="46"/>
    </row>
    <row r="23" spans="1:13" x14ac:dyDescent="0.25">
      <c r="A23" s="46"/>
      <c r="B23" s="1829" t="s">
        <v>1734</v>
      </c>
      <c r="C23" s="1830"/>
      <c r="D23" s="1830"/>
      <c r="E23" s="1830"/>
      <c r="F23" s="1830"/>
      <c r="G23" s="1830"/>
      <c r="H23" s="1830"/>
      <c r="I23" s="1830"/>
      <c r="J23" s="1831"/>
      <c r="K23" s="45"/>
      <c r="L23" s="46"/>
    </row>
    <row r="24" spans="1:13" ht="13.5" customHeight="1" x14ac:dyDescent="0.25">
      <c r="A24" s="46"/>
      <c r="B24" s="46"/>
      <c r="C24" s="46"/>
      <c r="D24" s="46"/>
      <c r="E24" s="46"/>
      <c r="F24" s="45"/>
      <c r="G24" s="45"/>
      <c r="H24" s="45"/>
      <c r="I24" s="45"/>
      <c r="J24" s="45"/>
      <c r="K24" s="45"/>
      <c r="L24" s="46"/>
      <c r="M24" s="45"/>
    </row>
    <row r="25" spans="1:13" x14ac:dyDescent="0.25">
      <c r="A25" s="46"/>
      <c r="B25" s="1056" t="s">
        <v>644</v>
      </c>
      <c r="C25" s="423"/>
      <c r="D25" s="423"/>
      <c r="E25" s="423"/>
      <c r="F25" s="423"/>
      <c r="G25" s="423"/>
      <c r="H25" s="423"/>
      <c r="I25" s="423"/>
      <c r="J25" s="424"/>
      <c r="K25" s="45"/>
      <c r="L25" s="46"/>
    </row>
    <row r="26" spans="1:13" x14ac:dyDescent="0.25">
      <c r="A26" s="46"/>
      <c r="B26" s="513" t="s">
        <v>104</v>
      </c>
      <c r="C26" s="425"/>
      <c r="D26" s="425"/>
      <c r="E26" s="425"/>
      <c r="F26" s="425"/>
      <c r="G26" s="425"/>
      <c r="H26" s="425"/>
      <c r="I26" s="425"/>
      <c r="J26" s="421"/>
      <c r="K26" s="45"/>
      <c r="L26" s="46"/>
    </row>
    <row r="27" spans="1:13" x14ac:dyDescent="0.25">
      <c r="A27" s="46"/>
      <c r="B27" s="513" t="s">
        <v>105</v>
      </c>
      <c r="C27" s="425"/>
      <c r="D27" s="425"/>
      <c r="E27" s="425"/>
      <c r="F27" s="425"/>
      <c r="G27" s="425"/>
      <c r="H27" s="425"/>
      <c r="I27" s="425"/>
      <c r="J27" s="421"/>
      <c r="K27" s="45"/>
      <c r="L27" s="46"/>
    </row>
    <row r="28" spans="1:13" x14ac:dyDescent="0.25">
      <c r="A28" s="46"/>
      <c r="B28" s="513" t="s">
        <v>106</v>
      </c>
      <c r="C28" s="425"/>
      <c r="D28" s="425"/>
      <c r="E28" s="425"/>
      <c r="F28" s="425"/>
      <c r="G28" s="425"/>
      <c r="H28" s="425"/>
      <c r="I28" s="425"/>
      <c r="J28" s="421"/>
      <c r="K28" s="45"/>
      <c r="L28" s="46"/>
    </row>
    <row r="29" spans="1:13" x14ac:dyDescent="0.25">
      <c r="A29" s="46"/>
      <c r="B29" s="513" t="s">
        <v>107</v>
      </c>
      <c r="C29" s="425"/>
      <c r="D29" s="425"/>
      <c r="E29" s="425"/>
      <c r="F29" s="425"/>
      <c r="G29" s="425"/>
      <c r="H29" s="425"/>
      <c r="I29" s="425"/>
      <c r="J29" s="421"/>
      <c r="K29" s="45"/>
      <c r="L29" s="46"/>
    </row>
    <row r="30" spans="1:13" x14ac:dyDescent="0.25">
      <c r="A30" s="46"/>
      <c r="B30" s="513" t="s">
        <v>108</v>
      </c>
      <c r="C30" s="425"/>
      <c r="D30" s="425"/>
      <c r="E30" s="425"/>
      <c r="F30" s="425"/>
      <c r="G30" s="425"/>
      <c r="H30" s="425"/>
      <c r="I30" s="425"/>
      <c r="J30" s="421"/>
      <c r="K30" s="45"/>
      <c r="L30" s="46"/>
    </row>
    <row r="31" spans="1:13" x14ac:dyDescent="0.25">
      <c r="A31" s="46"/>
      <c r="B31" s="513" t="s">
        <v>109</v>
      </c>
      <c r="C31" s="425"/>
      <c r="D31" s="425"/>
      <c r="E31" s="425"/>
      <c r="F31" s="425"/>
      <c r="G31" s="425"/>
      <c r="H31" s="425"/>
      <c r="I31" s="425"/>
      <c r="J31" s="421"/>
      <c r="K31" s="45"/>
      <c r="L31" s="46"/>
    </row>
    <row r="32" spans="1:13" x14ac:dyDescent="0.25">
      <c r="A32" s="46"/>
      <c r="B32" s="513" t="s">
        <v>110</v>
      </c>
      <c r="C32" s="425"/>
      <c r="D32" s="425"/>
      <c r="E32" s="425"/>
      <c r="F32" s="425"/>
      <c r="G32" s="425"/>
      <c r="H32" s="425"/>
      <c r="I32" s="425"/>
      <c r="J32" s="421"/>
      <c r="K32" s="45"/>
      <c r="L32" s="46"/>
    </row>
    <row r="33" spans="1:13" x14ac:dyDescent="0.25">
      <c r="A33" s="46"/>
      <c r="B33" s="1065" t="s">
        <v>645</v>
      </c>
      <c r="C33" s="426"/>
      <c r="D33" s="426"/>
      <c r="E33" s="426"/>
      <c r="F33" s="426"/>
      <c r="G33" s="426"/>
      <c r="H33" s="426"/>
      <c r="I33" s="426"/>
      <c r="J33" s="422"/>
      <c r="K33" s="45"/>
      <c r="L33" s="46"/>
    </row>
    <row r="34" spans="1:13" ht="15" customHeight="1" x14ac:dyDescent="0.25">
      <c r="A34" s="46"/>
      <c r="B34" s="46"/>
      <c r="C34" s="46"/>
      <c r="D34" s="46"/>
      <c r="E34" s="46"/>
      <c r="F34" s="45"/>
      <c r="G34" s="45"/>
      <c r="H34" s="45"/>
      <c r="I34" s="45"/>
      <c r="J34" s="45"/>
      <c r="K34" s="45"/>
      <c r="L34" s="46"/>
    </row>
    <row r="35" spans="1:13" ht="16.5" customHeight="1" x14ac:dyDescent="0.25">
      <c r="A35" s="1688" t="s">
        <v>6</v>
      </c>
      <c r="B35" s="1688"/>
      <c r="C35" s="1688"/>
      <c r="D35" s="46"/>
      <c r="E35" s="46"/>
      <c r="F35" s="46"/>
      <c r="G35" s="46"/>
      <c r="H35" s="46"/>
      <c r="I35" s="46"/>
      <c r="J35" s="46"/>
      <c r="K35" s="46"/>
      <c r="L35" s="46"/>
    </row>
    <row r="36" spans="1:13" ht="15" customHeight="1" x14ac:dyDescent="0.25">
      <c r="A36" s="46"/>
      <c r="B36" s="46"/>
      <c r="C36" s="46"/>
      <c r="D36" s="46"/>
      <c r="E36" s="46"/>
      <c r="F36" s="45"/>
      <c r="G36" s="45"/>
      <c r="H36" s="45"/>
      <c r="I36" s="45"/>
      <c r="J36" s="45"/>
      <c r="K36" s="45"/>
      <c r="L36" s="46"/>
    </row>
    <row r="37" spans="1:13" ht="15" customHeight="1" x14ac:dyDescent="0.25">
      <c r="A37" s="46"/>
      <c r="B37" s="535" t="s">
        <v>782</v>
      </c>
      <c r="C37" s="46"/>
      <c r="D37" s="46"/>
      <c r="E37" s="46"/>
      <c r="F37" s="45"/>
      <c r="G37" s="45"/>
      <c r="H37" s="45"/>
      <c r="I37" s="45"/>
      <c r="J37" s="45"/>
      <c r="K37" s="45"/>
      <c r="L37" s="46"/>
    </row>
    <row r="38" spans="1:13" ht="12" customHeight="1" x14ac:dyDescent="0.25">
      <c r="A38" s="46"/>
      <c r="B38" s="112"/>
      <c r="C38" s="46"/>
      <c r="D38" s="46"/>
      <c r="E38" s="46"/>
      <c r="F38" s="45"/>
      <c r="G38" s="45"/>
      <c r="H38" s="45"/>
      <c r="I38" s="45"/>
      <c r="J38" s="45"/>
      <c r="K38" s="45"/>
      <c r="L38" s="46"/>
    </row>
    <row r="39" spans="1:13" ht="30" customHeight="1" x14ac:dyDescent="0.25">
      <c r="A39" s="46"/>
      <c r="B39" s="212" t="s">
        <v>67</v>
      </c>
      <c r="C39" s="235" t="s">
        <v>135</v>
      </c>
      <c r="D39" s="235" t="s">
        <v>8</v>
      </c>
      <c r="E39" s="235" t="s">
        <v>68</v>
      </c>
      <c r="F39" s="1054" t="s">
        <v>1735</v>
      </c>
      <c r="G39" s="226" t="s">
        <v>69</v>
      </c>
      <c r="H39" s="1638" t="s">
        <v>12</v>
      </c>
      <c r="I39" s="1638"/>
      <c r="J39" s="1665" t="s">
        <v>77</v>
      </c>
      <c r="K39" s="1665"/>
      <c r="L39" s="45"/>
      <c r="M39" s="46"/>
    </row>
    <row r="40" spans="1:13" x14ac:dyDescent="0.25">
      <c r="A40" s="46"/>
      <c r="B40" s="450" t="s">
        <v>53</v>
      </c>
      <c r="C40" s="111"/>
      <c r="D40" s="111"/>
      <c r="E40" s="111"/>
      <c r="F40" s="236">
        <f>IF(B40&lt;&gt;"",E40*D40,0)</f>
        <v>0</v>
      </c>
      <c r="G40" s="111" t="s">
        <v>53</v>
      </c>
      <c r="H40" s="1825"/>
      <c r="I40" s="1825"/>
      <c r="J40" s="1823" t="str">
        <f>IF(OR(B40="Select",G40="Select"),"",IF(AND(G40="Yes",H40&lt;&gt;""),"Yes","No"))</f>
        <v/>
      </c>
      <c r="K40" s="1824"/>
      <c r="L40" s="45"/>
      <c r="M40" s="46"/>
    </row>
    <row r="41" spans="1:13" x14ac:dyDescent="0.25">
      <c r="A41" s="46"/>
      <c r="B41" s="1055" t="s">
        <v>53</v>
      </c>
      <c r="C41" s="111"/>
      <c r="D41" s="111"/>
      <c r="E41" s="97"/>
      <c r="F41" s="236">
        <f t="shared" ref="F41:F59" si="0">IF(B41&lt;&gt;"",E41*D41,0)</f>
        <v>0</v>
      </c>
      <c r="G41" s="266" t="s">
        <v>53</v>
      </c>
      <c r="H41" s="1825"/>
      <c r="I41" s="1825"/>
      <c r="J41" s="1823" t="str">
        <f t="shared" ref="J41:J59" si="1">IF(OR(B41="Select",G41="Select"),"",IF(AND(G41="Yes",H41&lt;&gt;""),"Yes","No"))</f>
        <v/>
      </c>
      <c r="K41" s="1824"/>
      <c r="L41" s="45"/>
      <c r="M41" s="46"/>
    </row>
    <row r="42" spans="1:13" x14ac:dyDescent="0.25">
      <c r="A42" s="46"/>
      <c r="B42" s="1055" t="s">
        <v>53</v>
      </c>
      <c r="C42" s="97"/>
      <c r="D42" s="97"/>
      <c r="E42" s="97"/>
      <c r="F42" s="236">
        <f t="shared" si="0"/>
        <v>0</v>
      </c>
      <c r="G42" s="266" t="s">
        <v>53</v>
      </c>
      <c r="H42" s="1825"/>
      <c r="I42" s="1825"/>
      <c r="J42" s="1823" t="str">
        <f t="shared" si="1"/>
        <v/>
      </c>
      <c r="K42" s="1824"/>
      <c r="L42" s="45"/>
      <c r="M42" s="46"/>
    </row>
    <row r="43" spans="1:13" x14ac:dyDescent="0.25">
      <c r="A43" s="46"/>
      <c r="B43" s="1055" t="s">
        <v>53</v>
      </c>
      <c r="C43" s="97"/>
      <c r="D43" s="97"/>
      <c r="E43" s="97"/>
      <c r="F43" s="236">
        <f t="shared" si="0"/>
        <v>0</v>
      </c>
      <c r="G43" s="266" t="s">
        <v>53</v>
      </c>
      <c r="H43" s="1825"/>
      <c r="I43" s="1825"/>
      <c r="J43" s="1823" t="str">
        <f t="shared" si="1"/>
        <v/>
      </c>
      <c r="K43" s="1824"/>
      <c r="L43" s="45"/>
      <c r="M43" s="46"/>
    </row>
    <row r="44" spans="1:13" x14ac:dyDescent="0.25">
      <c r="A44" s="46"/>
      <c r="B44" s="1055" t="s">
        <v>53</v>
      </c>
      <c r="C44" s="97"/>
      <c r="D44" s="97"/>
      <c r="E44" s="97"/>
      <c r="F44" s="236">
        <f t="shared" si="0"/>
        <v>0</v>
      </c>
      <c r="G44" s="266" t="s">
        <v>53</v>
      </c>
      <c r="H44" s="1825"/>
      <c r="I44" s="1825"/>
      <c r="J44" s="1823" t="str">
        <f t="shared" si="1"/>
        <v/>
      </c>
      <c r="K44" s="1824"/>
      <c r="L44" s="45"/>
      <c r="M44" s="46"/>
    </row>
    <row r="45" spans="1:13" x14ac:dyDescent="0.25">
      <c r="A45" s="46"/>
      <c r="B45" s="1055" t="s">
        <v>53</v>
      </c>
      <c r="C45" s="97"/>
      <c r="D45" s="97"/>
      <c r="E45" s="97"/>
      <c r="F45" s="236">
        <f t="shared" si="0"/>
        <v>0</v>
      </c>
      <c r="G45" s="266" t="s">
        <v>53</v>
      </c>
      <c r="H45" s="1825"/>
      <c r="I45" s="1825"/>
      <c r="J45" s="1823" t="str">
        <f t="shared" si="1"/>
        <v/>
      </c>
      <c r="K45" s="1824"/>
      <c r="L45" s="45"/>
      <c r="M45" s="46"/>
    </row>
    <row r="46" spans="1:13" x14ac:dyDescent="0.25">
      <c r="A46" s="46"/>
      <c r="B46" s="1055" t="s">
        <v>53</v>
      </c>
      <c r="C46" s="97"/>
      <c r="D46" s="97"/>
      <c r="E46" s="97"/>
      <c r="F46" s="236">
        <f t="shared" si="0"/>
        <v>0</v>
      </c>
      <c r="G46" s="266" t="s">
        <v>53</v>
      </c>
      <c r="H46" s="1825"/>
      <c r="I46" s="1825"/>
      <c r="J46" s="1823" t="str">
        <f t="shared" si="1"/>
        <v/>
      </c>
      <c r="K46" s="1824"/>
      <c r="L46" s="45"/>
      <c r="M46" s="46"/>
    </row>
    <row r="47" spans="1:13" x14ac:dyDescent="0.25">
      <c r="A47" s="46"/>
      <c r="B47" s="1055" t="s">
        <v>53</v>
      </c>
      <c r="C47" s="97"/>
      <c r="D47" s="97"/>
      <c r="E47" s="97"/>
      <c r="F47" s="236">
        <f t="shared" si="0"/>
        <v>0</v>
      </c>
      <c r="G47" s="266" t="s">
        <v>53</v>
      </c>
      <c r="H47" s="1825"/>
      <c r="I47" s="1825"/>
      <c r="J47" s="1823" t="str">
        <f t="shared" si="1"/>
        <v/>
      </c>
      <c r="K47" s="1824"/>
      <c r="L47" s="45"/>
      <c r="M47" s="46"/>
    </row>
    <row r="48" spans="1:13" x14ac:dyDescent="0.25">
      <c r="A48" s="46"/>
      <c r="B48" s="1055" t="s">
        <v>53</v>
      </c>
      <c r="C48" s="97"/>
      <c r="D48" s="97"/>
      <c r="E48" s="97"/>
      <c r="F48" s="236">
        <f t="shared" si="0"/>
        <v>0</v>
      </c>
      <c r="G48" s="266" t="s">
        <v>53</v>
      </c>
      <c r="H48" s="1825"/>
      <c r="I48" s="1825"/>
      <c r="J48" s="1823" t="str">
        <f t="shared" si="1"/>
        <v/>
      </c>
      <c r="K48" s="1824"/>
      <c r="L48" s="45"/>
      <c r="M48" s="46"/>
    </row>
    <row r="49" spans="1:13" x14ac:dyDescent="0.25">
      <c r="A49" s="46"/>
      <c r="B49" s="1055" t="s">
        <v>53</v>
      </c>
      <c r="C49" s="97"/>
      <c r="D49" s="97"/>
      <c r="E49" s="97"/>
      <c r="F49" s="236">
        <f t="shared" si="0"/>
        <v>0</v>
      </c>
      <c r="G49" s="266" t="s">
        <v>53</v>
      </c>
      <c r="H49" s="1825"/>
      <c r="I49" s="1825"/>
      <c r="J49" s="1823" t="str">
        <f t="shared" si="1"/>
        <v/>
      </c>
      <c r="K49" s="1824"/>
      <c r="L49" s="45"/>
      <c r="M49" s="46"/>
    </row>
    <row r="50" spans="1:13" x14ac:dyDescent="0.25">
      <c r="A50" s="46"/>
      <c r="B50" s="1055" t="s">
        <v>53</v>
      </c>
      <c r="C50" s="770"/>
      <c r="D50" s="770"/>
      <c r="E50" s="770"/>
      <c r="F50" s="236">
        <f t="shared" si="0"/>
        <v>0</v>
      </c>
      <c r="G50" s="771" t="s">
        <v>53</v>
      </c>
      <c r="H50" s="1825"/>
      <c r="I50" s="1825"/>
      <c r="J50" s="1823" t="str">
        <f t="shared" si="1"/>
        <v/>
      </c>
      <c r="K50" s="1824"/>
      <c r="L50" s="45"/>
      <c r="M50" s="46"/>
    </row>
    <row r="51" spans="1:13" x14ac:dyDescent="0.25">
      <c r="A51" s="46"/>
      <c r="B51" s="1055" t="s">
        <v>53</v>
      </c>
      <c r="C51" s="770"/>
      <c r="D51" s="770"/>
      <c r="E51" s="770"/>
      <c r="F51" s="236">
        <f t="shared" si="0"/>
        <v>0</v>
      </c>
      <c r="G51" s="771" t="s">
        <v>53</v>
      </c>
      <c r="H51" s="1825"/>
      <c r="I51" s="1825"/>
      <c r="J51" s="1823" t="str">
        <f t="shared" si="1"/>
        <v/>
      </c>
      <c r="K51" s="1824"/>
      <c r="L51" s="45"/>
      <c r="M51" s="46"/>
    </row>
    <row r="52" spans="1:13" x14ac:dyDescent="0.25">
      <c r="A52" s="46"/>
      <c r="B52" s="1055" t="s">
        <v>53</v>
      </c>
      <c r="C52" s="770"/>
      <c r="D52" s="770"/>
      <c r="E52" s="770"/>
      <c r="F52" s="236">
        <f t="shared" si="0"/>
        <v>0</v>
      </c>
      <c r="G52" s="771" t="s">
        <v>53</v>
      </c>
      <c r="H52" s="1825"/>
      <c r="I52" s="1825"/>
      <c r="J52" s="1823" t="str">
        <f t="shared" si="1"/>
        <v/>
      </c>
      <c r="K52" s="1824"/>
      <c r="L52" s="45"/>
      <c r="M52" s="46"/>
    </row>
    <row r="53" spans="1:13" x14ac:dyDescent="0.25">
      <c r="A53" s="46"/>
      <c r="B53" s="1055" t="s">
        <v>53</v>
      </c>
      <c r="C53" s="770"/>
      <c r="D53" s="770"/>
      <c r="E53" s="770"/>
      <c r="F53" s="236">
        <f t="shared" si="0"/>
        <v>0</v>
      </c>
      <c r="G53" s="771" t="s">
        <v>53</v>
      </c>
      <c r="H53" s="1825"/>
      <c r="I53" s="1825"/>
      <c r="J53" s="1823" t="str">
        <f t="shared" si="1"/>
        <v/>
      </c>
      <c r="K53" s="1824"/>
      <c r="L53" s="45"/>
      <c r="M53" s="46"/>
    </row>
    <row r="54" spans="1:13" x14ac:dyDescent="0.25">
      <c r="A54" s="46"/>
      <c r="B54" s="1055" t="s">
        <v>53</v>
      </c>
      <c r="C54" s="97"/>
      <c r="D54" s="97"/>
      <c r="E54" s="97"/>
      <c r="F54" s="236">
        <f t="shared" si="0"/>
        <v>0</v>
      </c>
      <c r="G54" s="266" t="s">
        <v>53</v>
      </c>
      <c r="H54" s="1825"/>
      <c r="I54" s="1825"/>
      <c r="J54" s="1823" t="str">
        <f t="shared" si="1"/>
        <v/>
      </c>
      <c r="K54" s="1824"/>
      <c r="L54" s="45"/>
      <c r="M54" s="46"/>
    </row>
    <row r="55" spans="1:13" x14ac:dyDescent="0.25">
      <c r="A55" s="46"/>
      <c r="B55" s="1055" t="s">
        <v>53</v>
      </c>
      <c r="C55" s="97"/>
      <c r="D55" s="97"/>
      <c r="E55" s="97"/>
      <c r="F55" s="236">
        <f t="shared" si="0"/>
        <v>0</v>
      </c>
      <c r="G55" s="266" t="s">
        <v>53</v>
      </c>
      <c r="H55" s="1825"/>
      <c r="I55" s="1825"/>
      <c r="J55" s="1823" t="str">
        <f t="shared" si="1"/>
        <v/>
      </c>
      <c r="K55" s="1824"/>
      <c r="L55" s="45"/>
      <c r="M55" s="46"/>
    </row>
    <row r="56" spans="1:13" x14ac:dyDescent="0.25">
      <c r="A56" s="46"/>
      <c r="B56" s="1055" t="s">
        <v>53</v>
      </c>
      <c r="C56" s="265"/>
      <c r="D56" s="265"/>
      <c r="E56" s="265"/>
      <c r="F56" s="236">
        <f t="shared" si="0"/>
        <v>0</v>
      </c>
      <c r="G56" s="266" t="s">
        <v>53</v>
      </c>
      <c r="H56" s="1825"/>
      <c r="I56" s="1825"/>
      <c r="J56" s="1823" t="str">
        <f t="shared" si="1"/>
        <v/>
      </c>
      <c r="K56" s="1824"/>
      <c r="L56" s="45"/>
      <c r="M56" s="46"/>
    </row>
    <row r="57" spans="1:13" x14ac:dyDescent="0.25">
      <c r="A57" s="46"/>
      <c r="B57" s="1055" t="s">
        <v>53</v>
      </c>
      <c r="C57" s="265"/>
      <c r="D57" s="265"/>
      <c r="E57" s="265"/>
      <c r="F57" s="236">
        <f t="shared" si="0"/>
        <v>0</v>
      </c>
      <c r="G57" s="266" t="s">
        <v>53</v>
      </c>
      <c r="H57" s="1825"/>
      <c r="I57" s="1825"/>
      <c r="J57" s="1823" t="str">
        <f t="shared" si="1"/>
        <v/>
      </c>
      <c r="K57" s="1824"/>
      <c r="L57" s="45"/>
      <c r="M57" s="46"/>
    </row>
    <row r="58" spans="1:13" x14ac:dyDescent="0.25">
      <c r="A58" s="46"/>
      <c r="B58" s="1055" t="s">
        <v>53</v>
      </c>
      <c r="C58" s="97"/>
      <c r="D58" s="97"/>
      <c r="E58" s="97"/>
      <c r="F58" s="236">
        <f t="shared" si="0"/>
        <v>0</v>
      </c>
      <c r="G58" s="266" t="s">
        <v>53</v>
      </c>
      <c r="H58" s="1825"/>
      <c r="I58" s="1825"/>
      <c r="J58" s="1823" t="str">
        <f t="shared" si="1"/>
        <v/>
      </c>
      <c r="K58" s="1824"/>
      <c r="L58" s="45"/>
      <c r="M58" s="46"/>
    </row>
    <row r="59" spans="1:13" x14ac:dyDescent="0.25">
      <c r="A59" s="46"/>
      <c r="B59" s="1055" t="s">
        <v>53</v>
      </c>
      <c r="C59" s="97"/>
      <c r="D59" s="97"/>
      <c r="E59" s="97"/>
      <c r="F59" s="236">
        <f t="shared" si="0"/>
        <v>0</v>
      </c>
      <c r="G59" s="266" t="s">
        <v>53</v>
      </c>
      <c r="H59" s="1825"/>
      <c r="I59" s="1825"/>
      <c r="J59" s="1823" t="str">
        <f t="shared" si="1"/>
        <v/>
      </c>
      <c r="K59" s="1824"/>
      <c r="L59" s="45"/>
      <c r="M59" s="46"/>
    </row>
    <row r="60" spans="1:13" ht="18" customHeight="1" x14ac:dyDescent="0.25">
      <c r="A60" s="46"/>
      <c r="B60" s="46"/>
      <c r="C60" s="46"/>
      <c r="D60" s="46"/>
      <c r="E60" s="46"/>
      <c r="F60" s="45"/>
      <c r="G60" s="45"/>
      <c r="H60" s="45"/>
      <c r="I60" s="45"/>
      <c r="J60" s="45"/>
      <c r="K60" s="45"/>
      <c r="L60" s="46"/>
    </row>
    <row r="61" spans="1:13" ht="19.5" customHeight="1" x14ac:dyDescent="0.25">
      <c r="A61" s="46"/>
      <c r="B61" s="1666" t="s">
        <v>649</v>
      </c>
      <c r="C61" s="1666"/>
      <c r="D61" s="1666"/>
      <c r="E61" s="1666"/>
      <c r="F61" s="63">
        <f ca="1">IFERROR(SUMIF(J40:K59,"Yes",F40:F59)/SUM(F40:F59),0)</f>
        <v>0</v>
      </c>
      <c r="G61" s="58" t="str">
        <f ca="1">IF(C71&lt;&gt;0,"",IF(F61&gt;=0.8,"→ 3 points can be achieved by submitting required documentation",IF(F61&gt;=0.6,"→ 2 points can be achieved by submitting required documentation",IF(F61&gt;=0.4,"→ 1 point can be achieved by submitting required documentation",""))))</f>
        <v/>
      </c>
      <c r="H61" s="45"/>
      <c r="I61" s="45"/>
      <c r="J61" s="45"/>
      <c r="K61" s="45"/>
      <c r="L61" s="46"/>
    </row>
    <row r="62" spans="1:13" ht="18" customHeight="1" x14ac:dyDescent="0.25">
      <c r="A62" s="46"/>
      <c r="B62" s="46"/>
      <c r="C62" s="46"/>
      <c r="D62" s="46"/>
      <c r="E62" s="46"/>
      <c r="F62" s="45"/>
      <c r="G62" s="45"/>
      <c r="H62" s="45"/>
      <c r="I62" s="45"/>
      <c r="J62" s="45"/>
      <c r="K62" s="45"/>
      <c r="L62" s="46"/>
    </row>
    <row r="63" spans="1:13" ht="16.5" customHeight="1" x14ac:dyDescent="0.25">
      <c r="A63" s="1688" t="s">
        <v>84</v>
      </c>
      <c r="B63" s="1688"/>
      <c r="C63" s="1688"/>
      <c r="D63" s="46"/>
      <c r="E63" s="46"/>
      <c r="F63" s="46"/>
      <c r="G63" s="46"/>
      <c r="H63" s="46"/>
      <c r="I63" s="46"/>
      <c r="J63" s="46"/>
      <c r="K63" s="46"/>
      <c r="L63" s="46"/>
    </row>
    <row r="64" spans="1:13" x14ac:dyDescent="0.25">
      <c r="A64" s="45"/>
      <c r="B64" s="46"/>
      <c r="C64" s="46"/>
      <c r="D64" s="46"/>
      <c r="E64" s="45"/>
      <c r="F64" s="45"/>
      <c r="G64" s="45"/>
      <c r="H64" s="45"/>
      <c r="I64" s="45"/>
      <c r="J64" s="45"/>
      <c r="K64" s="45"/>
      <c r="L64" s="46"/>
    </row>
    <row r="65" spans="1:14" ht="21" customHeight="1" x14ac:dyDescent="0.25">
      <c r="A65" s="45"/>
      <c r="B65" s="1641" t="s">
        <v>85</v>
      </c>
      <c r="C65" s="1642"/>
      <c r="D65" s="1642"/>
      <c r="E65" s="1642"/>
      <c r="F65" s="1642"/>
      <c r="G65" s="603" t="s">
        <v>907</v>
      </c>
      <c r="H65" s="1638" t="s">
        <v>908</v>
      </c>
      <c r="I65" s="1639"/>
      <c r="J65" s="45"/>
      <c r="K65" s="45"/>
      <c r="L65" s="46"/>
    </row>
    <row r="66" spans="1:14" ht="30" customHeight="1" x14ac:dyDescent="0.25">
      <c r="A66" s="45"/>
      <c r="B66" s="1648" t="str">
        <f>Submittals!G35</f>
        <v>• Evidence showing that the appliances are certified under a recognized energy efficiency label such as photographs, technical data, etc.</v>
      </c>
      <c r="C66" s="1649"/>
      <c r="D66" s="1649"/>
      <c r="E66" s="1649"/>
      <c r="F66" s="1650"/>
      <c r="G66" s="614" t="s">
        <v>53</v>
      </c>
      <c r="H66" s="1689"/>
      <c r="I66" s="1690"/>
      <c r="J66" s="532"/>
      <c r="K66" s="45"/>
      <c r="L66" s="46"/>
      <c r="M66" s="35" t="str">
        <f>IF(OR(B66="/",B66="No evidence required at this submission stage"),"Yes",IF(G66="Submitted","Yes","No"))</f>
        <v>No</v>
      </c>
    </row>
    <row r="67" spans="1:14" ht="24" customHeight="1" x14ac:dyDescent="0.25">
      <c r="A67" s="45"/>
      <c r="B67" s="1648" t="str">
        <f>Submittals!G36</f>
        <v>• Evidence showing that the aforementioned appliances were installed such as photographs, invoices, etc.</v>
      </c>
      <c r="C67" s="1649"/>
      <c r="D67" s="1649"/>
      <c r="E67" s="1649"/>
      <c r="F67" s="1650"/>
      <c r="G67" s="614" t="s">
        <v>53</v>
      </c>
      <c r="H67" s="1741"/>
      <c r="I67" s="1742"/>
      <c r="J67" s="532"/>
      <c r="K67" s="45"/>
      <c r="L67" s="46"/>
      <c r="M67" s="35" t="str">
        <f>IF(OR(B67="/",B67="No evidence required at this submission stage"),"Yes",IF(G67="Submitted","Yes","No"))</f>
        <v>No</v>
      </c>
    </row>
    <row r="68" spans="1:14" ht="21.75" customHeight="1" x14ac:dyDescent="0.25">
      <c r="A68" s="45"/>
      <c r="B68" s="45"/>
      <c r="C68" s="45"/>
      <c r="D68" s="45"/>
      <c r="E68" s="45"/>
      <c r="F68" s="45"/>
      <c r="G68" s="45"/>
      <c r="H68" s="45"/>
      <c r="I68" s="45"/>
      <c r="J68" s="45"/>
      <c r="K68" s="45"/>
      <c r="L68" s="46"/>
    </row>
    <row r="69" spans="1:14" ht="16.5" customHeight="1" x14ac:dyDescent="0.25">
      <c r="A69" s="1688" t="s">
        <v>5</v>
      </c>
      <c r="B69" s="1688"/>
      <c r="C69" s="1688"/>
      <c r="D69" s="45"/>
      <c r="E69" s="45"/>
      <c r="F69" s="45"/>
      <c r="G69" s="45"/>
      <c r="H69" s="45"/>
      <c r="I69" s="45"/>
      <c r="J69" s="45"/>
      <c r="K69" s="45"/>
      <c r="L69" s="46"/>
    </row>
    <row r="70" spans="1:14" ht="17.25" customHeight="1" x14ac:dyDescent="0.25">
      <c r="A70" s="46"/>
      <c r="B70" s="46"/>
      <c r="C70" s="46"/>
      <c r="D70" s="46"/>
      <c r="E70" s="46"/>
      <c r="F70" s="45"/>
      <c r="G70" s="45"/>
      <c r="H70" s="45"/>
      <c r="I70" s="45"/>
      <c r="J70" s="45"/>
      <c r="K70" s="45"/>
      <c r="L70" s="46"/>
    </row>
    <row r="71" spans="1:14" ht="18" customHeight="1" x14ac:dyDescent="0.25">
      <c r="A71" s="46"/>
      <c r="B71" s="102" t="s">
        <v>16</v>
      </c>
      <c r="C71" s="8">
        <f ca="1">IF(F61=0,0,IF(F61&gt;=0.9,4,IF(F61&gt;=0.7,3,IF(F61&gt;=0.5,2,IF(F61&gt;=0.3,1,0)))))</f>
        <v>0</v>
      </c>
      <c r="D71" s="46"/>
      <c r="E71" s="46"/>
      <c r="F71" s="45"/>
      <c r="G71" s="45"/>
      <c r="H71" s="45"/>
      <c r="I71" s="45"/>
      <c r="J71" s="45"/>
      <c r="K71" s="45"/>
      <c r="L71" s="46"/>
    </row>
    <row r="72" spans="1:14" ht="18" customHeight="1" x14ac:dyDescent="0.25">
      <c r="A72" s="46"/>
      <c r="B72" s="102" t="s">
        <v>133</v>
      </c>
      <c r="C72" s="8" t="str">
        <f ca="1">IF(AND(COUNTIF(M66:M67,"Yes")=2,C71&gt;0),"Yes","No")</f>
        <v>No</v>
      </c>
      <c r="D72" s="46"/>
      <c r="E72" s="46"/>
      <c r="F72" s="45"/>
      <c r="G72" s="45"/>
      <c r="H72" s="45"/>
      <c r="I72" s="45"/>
      <c r="J72" s="45"/>
      <c r="K72" s="45"/>
      <c r="L72" s="46"/>
    </row>
    <row r="73" spans="1:14" ht="21" customHeight="1" x14ac:dyDescent="0.25">
      <c r="A73" s="46"/>
      <c r="B73" s="46"/>
      <c r="C73" s="46"/>
      <c r="D73" s="46"/>
      <c r="E73" s="46"/>
      <c r="F73" s="45"/>
      <c r="G73" s="45"/>
      <c r="H73" s="45"/>
      <c r="I73" s="45"/>
      <c r="J73" s="45"/>
      <c r="K73" s="45"/>
      <c r="L73" s="46"/>
    </row>
    <row r="74" spans="1:14" ht="18" customHeight="1" x14ac:dyDescent="0.25">
      <c r="A74" s="1667" t="s">
        <v>328</v>
      </c>
      <c r="B74" s="1667"/>
      <c r="C74" s="1667"/>
      <c r="D74" s="1667"/>
      <c r="E74" s="1667"/>
      <c r="F74" s="1667"/>
      <c r="G74" s="1667"/>
      <c r="H74" s="1667"/>
      <c r="I74" s="1667"/>
      <c r="J74" s="1667"/>
      <c r="K74" s="1667"/>
      <c r="L74" s="1667"/>
    </row>
    <row r="75" spans="1:14" ht="15" customHeight="1" x14ac:dyDescent="0.25">
      <c r="A75" s="46"/>
      <c r="B75" s="46"/>
      <c r="C75" s="46"/>
      <c r="D75" s="46"/>
      <c r="E75" s="46"/>
      <c r="F75" s="45"/>
      <c r="G75" s="45"/>
      <c r="H75" s="45"/>
      <c r="I75" s="45"/>
      <c r="J75" s="45"/>
      <c r="K75" s="45"/>
      <c r="L75" s="46"/>
    </row>
    <row r="76" spans="1:14" ht="16.5" customHeight="1" x14ac:dyDescent="0.25">
      <c r="A76" s="1688" t="s">
        <v>326</v>
      </c>
      <c r="B76" s="1688"/>
      <c r="C76" s="1688"/>
      <c r="D76" s="46"/>
      <c r="E76" s="46"/>
      <c r="F76" s="45"/>
      <c r="G76" s="45"/>
      <c r="H76" s="45"/>
      <c r="I76" s="45"/>
      <c r="J76" s="45"/>
      <c r="K76" s="45"/>
      <c r="L76" s="46"/>
    </row>
    <row r="77" spans="1:14" ht="15" customHeight="1" x14ac:dyDescent="0.25">
      <c r="A77" s="46"/>
      <c r="B77" s="46"/>
      <c r="C77" s="46"/>
      <c r="D77" s="46"/>
      <c r="E77" s="46"/>
      <c r="F77" s="45"/>
      <c r="G77" s="45"/>
      <c r="H77" s="45"/>
      <c r="I77" s="45"/>
      <c r="J77" s="45"/>
      <c r="K77" s="45"/>
      <c r="L77" s="46"/>
    </row>
    <row r="78" spans="1:14" ht="15" customHeight="1" x14ac:dyDescent="0.25">
      <c r="A78" s="46"/>
      <c r="B78" s="510" t="s">
        <v>329</v>
      </c>
      <c r="C78" s="46"/>
      <c r="D78" s="46"/>
      <c r="E78" s="46"/>
      <c r="F78" s="45"/>
      <c r="G78" s="45"/>
      <c r="H78" s="45"/>
      <c r="I78" s="45"/>
      <c r="J78" s="45"/>
      <c r="K78" s="45"/>
      <c r="L78" s="46"/>
    </row>
    <row r="79" spans="1:14" ht="15" customHeight="1" x14ac:dyDescent="0.25">
      <c r="A79" s="46"/>
      <c r="B79" s="46"/>
      <c r="C79" s="46"/>
      <c r="D79" s="46"/>
      <c r="E79" s="46"/>
      <c r="F79" s="45"/>
      <c r="G79" s="45"/>
      <c r="H79" s="45"/>
      <c r="I79" s="45"/>
      <c r="J79" s="45"/>
      <c r="K79" s="45"/>
      <c r="L79" s="46"/>
      <c r="N79" s="45"/>
    </row>
    <row r="80" spans="1:14" ht="53.25" customHeight="1" x14ac:dyDescent="0.25">
      <c r="A80" s="46"/>
      <c r="B80" s="1700" t="s">
        <v>1444</v>
      </c>
      <c r="C80" s="1701"/>
      <c r="D80" s="1701"/>
      <c r="E80" s="1701"/>
      <c r="F80" s="1701"/>
      <c r="G80" s="1701"/>
      <c r="H80" s="1701"/>
      <c r="I80" s="1701"/>
      <c r="J80" s="1702"/>
      <c r="K80" s="45"/>
      <c r="L80" s="46"/>
      <c r="N80" s="45"/>
    </row>
    <row r="81" spans="1:14" ht="18.75" customHeight="1" x14ac:dyDescent="0.25">
      <c r="A81" s="46"/>
      <c r="B81" s="46"/>
      <c r="C81" s="46"/>
      <c r="D81" s="46"/>
      <c r="E81" s="46"/>
      <c r="F81" s="45"/>
      <c r="G81" s="45"/>
      <c r="H81" s="45"/>
      <c r="I81" s="45"/>
      <c r="J81" s="45"/>
      <c r="K81" s="45"/>
      <c r="L81" s="46"/>
      <c r="N81" s="45"/>
    </row>
    <row r="82" spans="1:14" ht="16.5" customHeight="1" x14ac:dyDescent="0.25">
      <c r="A82" s="46"/>
      <c r="B82" s="469" t="s">
        <v>646</v>
      </c>
      <c r="C82" s="474"/>
      <c r="D82" s="474"/>
      <c r="E82" s="474"/>
      <c r="F82" s="474"/>
      <c r="G82" s="474"/>
      <c r="H82" s="475"/>
      <c r="I82" s="45"/>
      <c r="J82" s="45"/>
      <c r="K82" s="45"/>
      <c r="L82" s="46"/>
      <c r="N82" s="45"/>
    </row>
    <row r="83" spans="1:14" ht="16.5" customHeight="1" x14ac:dyDescent="0.25">
      <c r="A83" s="46"/>
      <c r="B83" s="1818" t="s">
        <v>784</v>
      </c>
      <c r="C83" s="1819"/>
      <c r="D83" s="1819"/>
      <c r="E83" s="1819"/>
      <c r="F83" s="1819"/>
      <c r="G83" s="1819"/>
      <c r="H83" s="1820"/>
      <c r="I83" s="45"/>
      <c r="J83" s="45"/>
      <c r="K83" s="45"/>
      <c r="L83" s="46"/>
    </row>
    <row r="84" spans="1:14" ht="16.5" customHeight="1" x14ac:dyDescent="0.25">
      <c r="A84" s="46"/>
      <c r="B84" s="1818" t="s">
        <v>648</v>
      </c>
      <c r="C84" s="1819"/>
      <c r="D84" s="1819"/>
      <c r="E84" s="1819"/>
      <c r="F84" s="1819"/>
      <c r="G84" s="1819"/>
      <c r="H84" s="842"/>
      <c r="I84" s="45"/>
      <c r="J84" s="45"/>
      <c r="K84" s="45"/>
      <c r="L84" s="46"/>
    </row>
    <row r="85" spans="1:14" ht="16.5" customHeight="1" x14ac:dyDescent="0.25">
      <c r="A85" s="46"/>
      <c r="B85" s="1821" t="s">
        <v>647</v>
      </c>
      <c r="C85" s="1822"/>
      <c r="D85" s="1822"/>
      <c r="E85" s="1822"/>
      <c r="F85" s="1822"/>
      <c r="G85" s="1822"/>
      <c r="H85" s="843"/>
      <c r="I85" s="45"/>
      <c r="J85" s="45"/>
      <c r="K85" s="45"/>
      <c r="L85" s="46"/>
    </row>
    <row r="86" spans="1:14" ht="15" customHeight="1" x14ac:dyDescent="0.25">
      <c r="A86" s="46"/>
      <c r="B86" s="46"/>
      <c r="C86" s="46"/>
      <c r="D86" s="46"/>
      <c r="E86" s="46"/>
      <c r="F86" s="45"/>
      <c r="G86" s="45"/>
      <c r="H86" s="45"/>
      <c r="I86" s="45"/>
      <c r="J86" s="45"/>
      <c r="K86" s="45"/>
      <c r="L86" s="46"/>
    </row>
    <row r="87" spans="1:14" ht="15" customHeight="1" x14ac:dyDescent="0.25">
      <c r="A87" s="46"/>
      <c r="B87" s="544" t="s">
        <v>331</v>
      </c>
      <c r="C87" s="46"/>
      <c r="D87" s="46"/>
      <c r="E87" s="46"/>
      <c r="F87" s="45"/>
      <c r="G87" s="45"/>
      <c r="H87" s="45"/>
      <c r="I87" s="45"/>
      <c r="J87" s="45"/>
      <c r="K87" s="45"/>
      <c r="L87" s="46"/>
    </row>
    <row r="88" spans="1:14" ht="18" customHeight="1" x14ac:dyDescent="0.25">
      <c r="A88" s="46"/>
      <c r="B88" s="46"/>
      <c r="C88" s="46"/>
      <c r="D88" s="46"/>
      <c r="E88" s="46"/>
      <c r="F88" s="45"/>
      <c r="G88" s="45"/>
      <c r="H88" s="45"/>
      <c r="I88" s="45"/>
      <c r="J88" s="45"/>
      <c r="K88" s="45"/>
      <c r="L88" s="46"/>
    </row>
    <row r="89" spans="1:14" ht="16.5" customHeight="1" x14ac:dyDescent="0.25">
      <c r="A89" s="1688" t="s">
        <v>6</v>
      </c>
      <c r="B89" s="1688"/>
      <c r="C89" s="1688"/>
      <c r="D89" s="45"/>
      <c r="E89" s="45"/>
      <c r="F89" s="45"/>
      <c r="G89" s="45"/>
      <c r="H89" s="45"/>
      <c r="I89" s="45"/>
      <c r="J89" s="45"/>
      <c r="K89" s="45"/>
      <c r="L89" s="46"/>
    </row>
    <row r="90" spans="1:14" x14ac:dyDescent="0.25">
      <c r="A90" s="46"/>
      <c r="B90" s="46"/>
      <c r="C90" s="46"/>
      <c r="D90" s="46"/>
      <c r="E90" s="46"/>
      <c r="F90" s="45"/>
      <c r="G90" s="45"/>
      <c r="H90" s="45"/>
      <c r="I90" s="45"/>
      <c r="J90" s="45"/>
      <c r="K90" s="45"/>
      <c r="L90" s="46"/>
    </row>
    <row r="91" spans="1:14" x14ac:dyDescent="0.25">
      <c r="A91" s="46"/>
      <c r="B91" s="535" t="s">
        <v>783</v>
      </c>
      <c r="C91" s="46"/>
      <c r="D91" s="46"/>
      <c r="E91" s="46"/>
      <c r="F91" s="45"/>
      <c r="G91" s="45"/>
      <c r="H91" s="45"/>
      <c r="I91" s="45"/>
      <c r="J91" s="45"/>
      <c r="K91" s="45"/>
      <c r="L91" s="46"/>
    </row>
    <row r="92" spans="1:14" x14ac:dyDescent="0.25">
      <c r="A92" s="46"/>
      <c r="B92" s="46"/>
      <c r="C92" s="46"/>
      <c r="D92" s="46"/>
      <c r="E92" s="46"/>
      <c r="F92" s="45"/>
      <c r="G92" s="45"/>
      <c r="H92" s="45"/>
      <c r="I92" s="45"/>
      <c r="J92" s="45"/>
      <c r="K92" s="45"/>
      <c r="L92" s="45"/>
    </row>
    <row r="93" spans="1:14" ht="16.5" customHeight="1" x14ac:dyDescent="0.25">
      <c r="A93" s="46"/>
      <c r="B93" s="1788" t="s">
        <v>330</v>
      </c>
      <c r="C93" s="1638"/>
      <c r="D93" s="272"/>
      <c r="E93" s="46"/>
      <c r="F93" s="45"/>
      <c r="G93" s="45"/>
      <c r="H93" s="45"/>
      <c r="I93" s="45"/>
      <c r="J93" s="45"/>
      <c r="K93" s="45"/>
      <c r="L93" s="46"/>
    </row>
    <row r="94" spans="1:14" ht="14.25" customHeight="1" x14ac:dyDescent="0.25">
      <c r="A94" s="46"/>
      <c r="B94" s="46"/>
      <c r="C94" s="46"/>
      <c r="D94" s="46"/>
      <c r="E94" s="46"/>
      <c r="F94" s="45"/>
      <c r="G94" s="45"/>
      <c r="H94" s="45"/>
      <c r="I94" s="45"/>
      <c r="J94" s="45"/>
      <c r="K94" s="45"/>
      <c r="L94" s="46"/>
    </row>
    <row r="95" spans="1:14" ht="16.5" customHeight="1" x14ac:dyDescent="0.25">
      <c r="A95" s="46"/>
      <c r="B95" s="1788" t="s">
        <v>334</v>
      </c>
      <c r="C95" s="1638"/>
      <c r="D95" s="1638"/>
      <c r="E95" s="1639"/>
      <c r="F95" s="272"/>
      <c r="G95" s="45"/>
      <c r="H95" s="45"/>
      <c r="I95" s="45"/>
      <c r="J95" s="45"/>
      <c r="K95" s="45"/>
      <c r="L95" s="46"/>
    </row>
    <row r="96" spans="1:14" ht="16.5" customHeight="1" x14ac:dyDescent="0.25">
      <c r="A96" s="46"/>
      <c r="B96" s="1788" t="s">
        <v>332</v>
      </c>
      <c r="C96" s="1638"/>
      <c r="D96" s="1638"/>
      <c r="E96" s="1639"/>
      <c r="F96" s="272"/>
      <c r="G96" s="45"/>
      <c r="H96" s="45"/>
      <c r="I96" s="45"/>
      <c r="J96" s="45"/>
      <c r="K96" s="45"/>
      <c r="L96" s="46"/>
    </row>
    <row r="97" spans="1:13" ht="16.5" customHeight="1" x14ac:dyDescent="0.25">
      <c r="A97" s="46"/>
      <c r="B97" s="1788" t="s">
        <v>333</v>
      </c>
      <c r="C97" s="1638"/>
      <c r="D97" s="1638"/>
      <c r="E97" s="1639"/>
      <c r="F97" s="272"/>
      <c r="G97" s="45"/>
      <c r="H97" s="45"/>
      <c r="I97" s="45"/>
      <c r="J97" s="45"/>
      <c r="K97" s="45"/>
      <c r="L97" s="46"/>
    </row>
    <row r="98" spans="1:13" ht="16.5" customHeight="1" x14ac:dyDescent="0.25">
      <c r="A98" s="46"/>
      <c r="B98" s="46"/>
      <c r="C98" s="46"/>
      <c r="D98" s="46"/>
      <c r="E98" s="46"/>
      <c r="F98" s="45"/>
      <c r="G98" s="45"/>
      <c r="H98" s="45"/>
      <c r="I98" s="45"/>
      <c r="J98" s="45"/>
      <c r="K98" s="45"/>
      <c r="L98" s="46"/>
    </row>
    <row r="99" spans="1:13" ht="16.5" customHeight="1" x14ac:dyDescent="0.25">
      <c r="A99" s="46"/>
      <c r="B99" s="46" t="s">
        <v>336</v>
      </c>
      <c r="C99" s="46"/>
      <c r="D99" s="46"/>
      <c r="E99" s="46"/>
      <c r="F99" s="45"/>
      <c r="G99" s="45"/>
      <c r="H99" s="45"/>
      <c r="I99" s="45"/>
      <c r="J99" s="45"/>
      <c r="K99" s="45"/>
      <c r="L99" s="46"/>
    </row>
    <row r="100" spans="1:13" ht="16.5" customHeight="1" x14ac:dyDescent="0.25">
      <c r="A100" s="46"/>
      <c r="B100" s="1788" t="s">
        <v>335</v>
      </c>
      <c r="C100" s="1638"/>
      <c r="D100" s="1638"/>
      <c r="E100" s="1639"/>
      <c r="F100" s="272"/>
      <c r="G100" s="45"/>
      <c r="H100" s="45"/>
      <c r="I100" s="45"/>
      <c r="J100" s="45"/>
      <c r="K100" s="45"/>
      <c r="L100" s="46"/>
    </row>
    <row r="101" spans="1:13" ht="21" customHeight="1" x14ac:dyDescent="0.25">
      <c r="A101" s="46"/>
      <c r="B101" s="46"/>
      <c r="C101" s="46"/>
      <c r="D101" s="46"/>
      <c r="E101" s="46"/>
      <c r="F101" s="45"/>
      <c r="G101" s="45"/>
      <c r="H101" s="45"/>
      <c r="I101" s="45"/>
      <c r="J101" s="45"/>
      <c r="K101" s="45"/>
      <c r="L101" s="46"/>
    </row>
    <row r="102" spans="1:13" ht="29.25" customHeight="1" x14ac:dyDescent="0.25">
      <c r="A102" s="46"/>
      <c r="B102" s="1734" t="s">
        <v>338</v>
      </c>
      <c r="C102" s="1665"/>
      <c r="D102" s="1665"/>
      <c r="E102" s="1665"/>
      <c r="F102" s="1735"/>
      <c r="G102" s="282"/>
      <c r="H102" s="45"/>
      <c r="I102" s="45"/>
      <c r="J102" s="45"/>
      <c r="K102" s="45"/>
      <c r="L102" s="46"/>
    </row>
    <row r="103" spans="1:13" ht="21" customHeight="1" x14ac:dyDescent="0.25">
      <c r="A103" s="46"/>
      <c r="B103" s="46"/>
      <c r="C103" s="46"/>
      <c r="D103" s="46"/>
      <c r="E103" s="46"/>
      <c r="F103" s="45"/>
      <c r="G103" s="45"/>
      <c r="H103" s="45"/>
      <c r="I103" s="45"/>
      <c r="J103" s="45"/>
      <c r="K103" s="45"/>
      <c r="L103" s="46"/>
    </row>
    <row r="104" spans="1:13" ht="21" customHeight="1" x14ac:dyDescent="0.25">
      <c r="A104" s="46"/>
      <c r="B104" s="1631" t="s">
        <v>337</v>
      </c>
      <c r="C104" s="1632"/>
      <c r="D104" s="1633"/>
      <c r="E104" s="66">
        <f>IFERROR((F95+F96+F97+F100)/(D93-G102),0)</f>
        <v>0</v>
      </c>
      <c r="F104" s="45"/>
      <c r="G104" s="45"/>
      <c r="H104" s="45"/>
      <c r="I104" s="45"/>
      <c r="J104" s="45"/>
      <c r="K104" s="45"/>
      <c r="L104" s="46"/>
    </row>
    <row r="105" spans="1:13" ht="21" customHeight="1" x14ac:dyDescent="0.25">
      <c r="A105" s="46"/>
      <c r="B105" s="46"/>
      <c r="C105" s="46"/>
      <c r="D105" s="46"/>
      <c r="E105" s="46"/>
      <c r="F105" s="45"/>
      <c r="G105" s="45"/>
      <c r="H105" s="45"/>
      <c r="I105" s="45"/>
      <c r="J105" s="45"/>
      <c r="K105" s="45"/>
      <c r="L105" s="46"/>
    </row>
    <row r="106" spans="1:13" ht="16.5" customHeight="1" x14ac:dyDescent="0.25">
      <c r="A106" s="1688" t="s">
        <v>84</v>
      </c>
      <c r="B106" s="1688"/>
      <c r="C106" s="1688"/>
      <c r="D106" s="46"/>
      <c r="E106" s="46"/>
      <c r="F106" s="46"/>
      <c r="G106" s="46"/>
      <c r="H106" s="46"/>
      <c r="I106" s="46"/>
      <c r="J106" s="46"/>
      <c r="K106" s="46"/>
      <c r="L106" s="46"/>
    </row>
    <row r="107" spans="1:13" x14ac:dyDescent="0.25">
      <c r="A107" s="45"/>
      <c r="B107" s="46"/>
      <c r="C107" s="46"/>
      <c r="D107" s="46"/>
      <c r="E107" s="45"/>
      <c r="F107" s="45"/>
      <c r="G107" s="45"/>
      <c r="H107" s="45"/>
      <c r="I107" s="45"/>
      <c r="J107" s="45"/>
      <c r="K107" s="45"/>
      <c r="L107" s="46"/>
    </row>
    <row r="108" spans="1:13" ht="21" customHeight="1" x14ac:dyDescent="0.25">
      <c r="A108" s="45"/>
      <c r="B108" s="1641" t="s">
        <v>85</v>
      </c>
      <c r="C108" s="1642"/>
      <c r="D108" s="1642"/>
      <c r="E108" s="1642"/>
      <c r="F108" s="1642"/>
      <c r="G108" s="603" t="s">
        <v>907</v>
      </c>
      <c r="H108" s="1638" t="s">
        <v>908</v>
      </c>
      <c r="I108" s="1639"/>
      <c r="J108" s="45"/>
      <c r="K108" s="45"/>
      <c r="L108" s="46"/>
    </row>
    <row r="109" spans="1:13" ht="24" customHeight="1" x14ac:dyDescent="0.25">
      <c r="A109" s="45"/>
      <c r="B109" s="1648" t="str">
        <f>Submittals!G37</f>
        <v>• Manufacturer's data of the plug load controls</v>
      </c>
      <c r="C109" s="1649"/>
      <c r="D109" s="1649"/>
      <c r="E109" s="1649"/>
      <c r="F109" s="1650"/>
      <c r="G109" s="614" t="s">
        <v>53</v>
      </c>
      <c r="H109" s="1689"/>
      <c r="I109" s="1690"/>
      <c r="J109" s="45"/>
      <c r="K109" s="45"/>
      <c r="L109" s="46"/>
      <c r="M109" s="35" t="str">
        <f>IF(OR(B109="/",B109="No evidence required at this submission stage"),"Yes",IF(G109="Submitted","Yes","No"))</f>
        <v>No</v>
      </c>
    </row>
    <row r="110" spans="1:13" ht="30" customHeight="1" x14ac:dyDescent="0.25">
      <c r="A110" s="45"/>
      <c r="B110" s="1648" t="str">
        <f>Submittals!G38</f>
        <v>• Evidence showing the location of all the plug points such as photographs, electrical drawings, commission records, etc.</v>
      </c>
      <c r="C110" s="1649"/>
      <c r="D110" s="1649"/>
      <c r="E110" s="1649"/>
      <c r="F110" s="1650"/>
      <c r="G110" s="614" t="s">
        <v>53</v>
      </c>
      <c r="H110" s="1689"/>
      <c r="I110" s="1690"/>
      <c r="J110" s="45"/>
      <c r="K110" s="45"/>
      <c r="L110" s="46"/>
      <c r="M110" s="35" t="str">
        <f>IF(OR(B110="/",B110="No evidence required at this submission stage"),"Yes",IF(G110="Submitted","Yes","No"))</f>
        <v>No</v>
      </c>
    </row>
    <row r="111" spans="1:13" ht="21.75" customHeight="1" x14ac:dyDescent="0.25">
      <c r="A111" s="45"/>
      <c r="B111" s="45"/>
      <c r="C111" s="45"/>
      <c r="D111" s="45"/>
      <c r="E111" s="45"/>
      <c r="F111" s="45"/>
      <c r="G111" s="45"/>
      <c r="H111" s="45"/>
      <c r="I111" s="45"/>
      <c r="J111" s="45"/>
      <c r="K111" s="45"/>
      <c r="L111" s="46"/>
    </row>
    <row r="112" spans="1:13" ht="16.5" customHeight="1" x14ac:dyDescent="0.25">
      <c r="A112" s="1688" t="s">
        <v>5</v>
      </c>
      <c r="B112" s="1688"/>
      <c r="C112" s="1688"/>
      <c r="D112" s="45"/>
      <c r="E112" s="45"/>
      <c r="F112" s="45"/>
      <c r="G112" s="45"/>
      <c r="H112" s="45"/>
      <c r="I112" s="45"/>
      <c r="J112" s="45"/>
      <c r="K112" s="45"/>
      <c r="L112" s="46"/>
    </row>
    <row r="113" spans="1:12" ht="17.25" customHeight="1" x14ac:dyDescent="0.25">
      <c r="A113" s="46"/>
      <c r="B113" s="46"/>
      <c r="C113" s="46"/>
      <c r="D113" s="46"/>
      <c r="E113" s="46"/>
      <c r="F113" s="45"/>
      <c r="G113" s="45"/>
      <c r="H113" s="45"/>
      <c r="I113" s="45"/>
      <c r="J113" s="45"/>
      <c r="K113" s="45"/>
      <c r="L113" s="46"/>
    </row>
    <row r="114" spans="1:12" ht="18" customHeight="1" x14ac:dyDescent="0.25">
      <c r="A114" s="46"/>
      <c r="B114" s="102" t="s">
        <v>16</v>
      </c>
      <c r="C114" s="8">
        <f>IF(E104=0,0,IF(E104&gt;=0.5,1,0))</f>
        <v>0</v>
      </c>
      <c r="D114" s="46"/>
      <c r="E114" s="46"/>
      <c r="F114" s="45"/>
      <c r="G114" s="45"/>
      <c r="H114" s="45"/>
      <c r="I114" s="45"/>
      <c r="J114" s="45"/>
      <c r="K114" s="45"/>
      <c r="L114" s="46"/>
    </row>
    <row r="115" spans="1:12" ht="18" customHeight="1" x14ac:dyDescent="0.25">
      <c r="A115" s="46"/>
      <c r="B115" s="102" t="s">
        <v>133</v>
      </c>
      <c r="C115" s="8" t="str">
        <f>IF(AND(COUNTIF(M109:M110,"Yes")=2,C114&gt;0),"Yes","No")</f>
        <v>No</v>
      </c>
      <c r="D115" s="46"/>
      <c r="E115" s="46"/>
      <c r="F115" s="45"/>
      <c r="G115" s="45"/>
      <c r="H115" s="45"/>
      <c r="I115" s="45"/>
      <c r="J115" s="45"/>
      <c r="K115" s="45"/>
      <c r="L115" s="46"/>
    </row>
    <row r="116" spans="1:12" ht="21" customHeight="1" x14ac:dyDescent="0.25">
      <c r="A116" s="46"/>
      <c r="B116" s="46"/>
      <c r="C116" s="46"/>
      <c r="D116" s="46"/>
      <c r="E116" s="46"/>
      <c r="F116" s="45"/>
      <c r="G116" s="45"/>
      <c r="H116" s="45"/>
      <c r="I116" s="45"/>
      <c r="J116" s="45"/>
      <c r="K116" s="45"/>
      <c r="L116" s="46"/>
    </row>
    <row r="117" spans="1:12" hidden="1" x14ac:dyDescent="0.25">
      <c r="L117" s="46"/>
    </row>
    <row r="118" spans="1:12" hidden="1" x14ac:dyDescent="0.25">
      <c r="L118" s="46"/>
    </row>
    <row r="119" spans="1:12" hidden="1" x14ac:dyDescent="0.25">
      <c r="L119" s="46"/>
    </row>
    <row r="120" spans="1:12" hidden="1" x14ac:dyDescent="0.25">
      <c r="L120" s="46"/>
    </row>
    <row r="121" spans="1:12" hidden="1" x14ac:dyDescent="0.25">
      <c r="L121" s="46"/>
    </row>
    <row r="122" spans="1:12" hidden="1" x14ac:dyDescent="0.25">
      <c r="L122" s="46"/>
    </row>
    <row r="123" spans="1:12" hidden="1" x14ac:dyDescent="0.25">
      <c r="L123" s="46"/>
    </row>
    <row r="124" spans="1:12" hidden="1" x14ac:dyDescent="0.25">
      <c r="L124" s="46"/>
    </row>
    <row r="125" spans="1:12" hidden="1" x14ac:dyDescent="0.25">
      <c r="L125" s="46"/>
    </row>
    <row r="126" spans="1:12" hidden="1" x14ac:dyDescent="0.25">
      <c r="L126" s="46"/>
    </row>
    <row r="127" spans="1:12" hidden="1" x14ac:dyDescent="0.25">
      <c r="L127" s="46"/>
    </row>
    <row r="128" spans="1:12" hidden="1" x14ac:dyDescent="0.25">
      <c r="L128" s="46"/>
    </row>
    <row r="129" spans="12:12" hidden="1" x14ac:dyDescent="0.25">
      <c r="L129" s="46"/>
    </row>
    <row r="130" spans="12:12" hidden="1" x14ac:dyDescent="0.25">
      <c r="L130" s="46"/>
    </row>
    <row r="131" spans="12:12" hidden="1" x14ac:dyDescent="0.25">
      <c r="L131" s="46"/>
    </row>
    <row r="132" spans="12:12" hidden="1" x14ac:dyDescent="0.25">
      <c r="L132" s="46"/>
    </row>
    <row r="133" spans="12:12" hidden="1" x14ac:dyDescent="0.25">
      <c r="L133" s="46"/>
    </row>
    <row r="134" spans="12:12" hidden="1" x14ac:dyDescent="0.25">
      <c r="L134" s="46"/>
    </row>
    <row r="135" spans="12:12" hidden="1" x14ac:dyDescent="0.25">
      <c r="L135" s="46"/>
    </row>
    <row r="136" spans="12:12" hidden="1" x14ac:dyDescent="0.25">
      <c r="L136" s="46"/>
    </row>
    <row r="137" spans="12:12" hidden="1" x14ac:dyDescent="0.25">
      <c r="L137" s="46"/>
    </row>
    <row r="138" spans="12:12" hidden="1" x14ac:dyDescent="0.25">
      <c r="L138" s="46"/>
    </row>
    <row r="139" spans="12:12" hidden="1" x14ac:dyDescent="0.25">
      <c r="L139" s="46"/>
    </row>
    <row r="140" spans="12:12" hidden="1" x14ac:dyDescent="0.25"/>
    <row r="141" spans="12:12" hidden="1" x14ac:dyDescent="0.25">
      <c r="L141" s="46"/>
    </row>
    <row r="142" spans="12:12" hidden="1" x14ac:dyDescent="0.25">
      <c r="L142" s="46"/>
    </row>
    <row r="143" spans="12:12" hidden="1" x14ac:dyDescent="0.25">
      <c r="L143" s="46"/>
    </row>
    <row r="144" spans="12:12" hidden="1" x14ac:dyDescent="0.25">
      <c r="L144" s="46"/>
    </row>
    <row r="145" spans="12:12" hidden="1" x14ac:dyDescent="0.25">
      <c r="L145" s="46"/>
    </row>
    <row r="146" spans="12:12" hidden="1" x14ac:dyDescent="0.25">
      <c r="L146" s="46"/>
    </row>
    <row r="147" spans="12:12" hidden="1" x14ac:dyDescent="0.25">
      <c r="L147" s="46"/>
    </row>
    <row r="148" spans="12:12" hidden="1" x14ac:dyDescent="0.25">
      <c r="L148" s="46"/>
    </row>
    <row r="149" spans="12:12" hidden="1" x14ac:dyDescent="0.25">
      <c r="L149" s="46"/>
    </row>
    <row r="150" spans="12:12" hidden="1" x14ac:dyDescent="0.25">
      <c r="L150" s="46"/>
    </row>
    <row r="151" spans="12:12" hidden="1" x14ac:dyDescent="0.25"/>
    <row r="152" spans="12:12" hidden="1" x14ac:dyDescent="0.25">
      <c r="L152" s="46"/>
    </row>
    <row r="153" spans="12:12" hidden="1" x14ac:dyDescent="0.25">
      <c r="L153" s="46"/>
    </row>
    <row r="154" spans="12:12" hidden="1" x14ac:dyDescent="0.25">
      <c r="L154" s="46"/>
    </row>
    <row r="155" spans="12:12" hidden="1" x14ac:dyDescent="0.25">
      <c r="L155" s="46"/>
    </row>
    <row r="156" spans="12:12" hidden="1" x14ac:dyDescent="0.25">
      <c r="L156" s="46"/>
    </row>
    <row r="157" spans="12:12" hidden="1" x14ac:dyDescent="0.25">
      <c r="L157" s="46"/>
    </row>
    <row r="158" spans="12:12" hidden="1" x14ac:dyDescent="0.25">
      <c r="L158" s="46"/>
    </row>
    <row r="159" spans="12:12" hidden="1" x14ac:dyDescent="0.25">
      <c r="L159" s="46"/>
    </row>
    <row r="160" spans="12:12" hidden="1" x14ac:dyDescent="0.25">
      <c r="L160" s="46"/>
    </row>
    <row r="161" spans="12:12" hidden="1" x14ac:dyDescent="0.25">
      <c r="L161" s="46"/>
    </row>
    <row r="162" spans="12:12" hidden="1" x14ac:dyDescent="0.25">
      <c r="L162" s="46"/>
    </row>
    <row r="163" spans="12:12" hidden="1" x14ac:dyDescent="0.25">
      <c r="L163" s="46"/>
    </row>
    <row r="164" spans="12:12" hidden="1" x14ac:dyDescent="0.25">
      <c r="L164" s="46"/>
    </row>
    <row r="165" spans="12:12" hidden="1" x14ac:dyDescent="0.25">
      <c r="L165" s="46"/>
    </row>
    <row r="166" spans="12:12" hidden="1" x14ac:dyDescent="0.25">
      <c r="L166" s="46"/>
    </row>
    <row r="167" spans="12:12" hidden="1" x14ac:dyDescent="0.25">
      <c r="L167" s="46"/>
    </row>
    <row r="168" spans="12:12" hidden="1" x14ac:dyDescent="0.25">
      <c r="L168" s="46"/>
    </row>
    <row r="169" spans="12:12" hidden="1" x14ac:dyDescent="0.25">
      <c r="L169" s="46"/>
    </row>
    <row r="170" spans="12:12" hidden="1" x14ac:dyDescent="0.25">
      <c r="L170" s="46"/>
    </row>
    <row r="171" spans="12:12" hidden="1" x14ac:dyDescent="0.25">
      <c r="L171" s="46"/>
    </row>
    <row r="172" spans="12:12" hidden="1" x14ac:dyDescent="0.25">
      <c r="L172" s="46"/>
    </row>
    <row r="173" spans="12:12" hidden="1" x14ac:dyDescent="0.25">
      <c r="L173" s="46"/>
    </row>
    <row r="174" spans="12:12" hidden="1" x14ac:dyDescent="0.25">
      <c r="L174" s="46"/>
    </row>
    <row r="175" spans="12:12" hidden="1" x14ac:dyDescent="0.25">
      <c r="L175" s="46"/>
    </row>
    <row r="176" spans="12:12" hidden="1" x14ac:dyDescent="0.25">
      <c r="L176" s="46"/>
    </row>
    <row r="177" spans="12:12" hidden="1" x14ac:dyDescent="0.25">
      <c r="L177" s="46"/>
    </row>
    <row r="178" spans="12:12" hidden="1" x14ac:dyDescent="0.25">
      <c r="L178" s="46"/>
    </row>
    <row r="179" spans="12:12" hidden="1" x14ac:dyDescent="0.25">
      <c r="L179" s="46"/>
    </row>
    <row r="180" spans="12:12" hidden="1" x14ac:dyDescent="0.25">
      <c r="L180" s="46"/>
    </row>
    <row r="181" spans="12:12" hidden="1" x14ac:dyDescent="0.25">
      <c r="L181" s="46"/>
    </row>
    <row r="182" spans="12:12" hidden="1" x14ac:dyDescent="0.25">
      <c r="L182" s="46"/>
    </row>
    <row r="183" spans="12:12" hidden="1" x14ac:dyDescent="0.25">
      <c r="L183" s="46"/>
    </row>
    <row r="184" spans="12:12" hidden="1" x14ac:dyDescent="0.25">
      <c r="L184" s="46"/>
    </row>
    <row r="185" spans="12:12" hidden="1" x14ac:dyDescent="0.25">
      <c r="L185" s="46"/>
    </row>
    <row r="186" spans="12:12" hidden="1" x14ac:dyDescent="0.25">
      <c r="L186" s="46"/>
    </row>
    <row r="187" spans="12:12" hidden="1" x14ac:dyDescent="0.25">
      <c r="L187" s="46"/>
    </row>
    <row r="188" spans="12:12" hidden="1" x14ac:dyDescent="0.25">
      <c r="L188" s="46"/>
    </row>
    <row r="189" spans="12:12" hidden="1" x14ac:dyDescent="0.25">
      <c r="L189" s="46"/>
    </row>
    <row r="190" spans="12:12" hidden="1" x14ac:dyDescent="0.25">
      <c r="L190" s="46"/>
    </row>
    <row r="191" spans="12:12" hidden="1" x14ac:dyDescent="0.25">
      <c r="L191" s="46"/>
    </row>
    <row r="192" spans="12:12" hidden="1" x14ac:dyDescent="0.25">
      <c r="L192" s="46"/>
    </row>
    <row r="193" spans="12:12" hidden="1" x14ac:dyDescent="0.25">
      <c r="L193" s="46"/>
    </row>
    <row r="194" spans="12:12" hidden="1" x14ac:dyDescent="0.25">
      <c r="L194" s="46"/>
    </row>
    <row r="195" spans="12:12" hidden="1" x14ac:dyDescent="0.25">
      <c r="L195" s="46"/>
    </row>
    <row r="196" spans="12:12" hidden="1" x14ac:dyDescent="0.25">
      <c r="L196" s="46"/>
    </row>
    <row r="197" spans="12:12" hidden="1" x14ac:dyDescent="0.25">
      <c r="L197" s="46"/>
    </row>
    <row r="198" spans="12:12" hidden="1" x14ac:dyDescent="0.25">
      <c r="L198" s="46"/>
    </row>
    <row r="199" spans="12:12" hidden="1" x14ac:dyDescent="0.25">
      <c r="L199" s="46"/>
    </row>
    <row r="200" spans="12:12" hidden="1" x14ac:dyDescent="0.25">
      <c r="L200" s="46"/>
    </row>
    <row r="201" spans="12:12" hidden="1" x14ac:dyDescent="0.25">
      <c r="L201" s="46"/>
    </row>
    <row r="202" spans="12:12" hidden="1" x14ac:dyDescent="0.25">
      <c r="L202" s="46"/>
    </row>
    <row r="203" spans="12:12" hidden="1" x14ac:dyDescent="0.25">
      <c r="L203" s="46"/>
    </row>
    <row r="204" spans="12:12" hidden="1" x14ac:dyDescent="0.25">
      <c r="L204" s="46"/>
    </row>
    <row r="205" spans="12:12" hidden="1" x14ac:dyDescent="0.25">
      <c r="L205" s="46"/>
    </row>
    <row r="206" spans="12:12" hidden="1" x14ac:dyDescent="0.25">
      <c r="L206" s="46"/>
    </row>
    <row r="207" spans="12:12" hidden="1" x14ac:dyDescent="0.25">
      <c r="L207" s="46"/>
    </row>
    <row r="208" spans="12:12" hidden="1" x14ac:dyDescent="0.25">
      <c r="L208" s="46"/>
    </row>
    <row r="209" spans="12:12" hidden="1" x14ac:dyDescent="0.25">
      <c r="L209" s="46"/>
    </row>
    <row r="210" spans="12:12" hidden="1" x14ac:dyDescent="0.25">
      <c r="L210" s="46"/>
    </row>
    <row r="211" spans="12:12" hidden="1" x14ac:dyDescent="0.25">
      <c r="L211" s="46"/>
    </row>
    <row r="212" spans="12:12" hidden="1" x14ac:dyDescent="0.25"/>
    <row r="213" spans="12:12" hidden="1" x14ac:dyDescent="0.25">
      <c r="L213" s="46"/>
    </row>
    <row r="214" spans="12:12" hidden="1" x14ac:dyDescent="0.25">
      <c r="L214" s="46"/>
    </row>
    <row r="215" spans="12:12" hidden="1" x14ac:dyDescent="0.25">
      <c r="L215" s="46"/>
    </row>
    <row r="216" spans="12:12" hidden="1" x14ac:dyDescent="0.25">
      <c r="L216" s="46"/>
    </row>
    <row r="217" spans="12:12" hidden="1" x14ac:dyDescent="0.25">
      <c r="L217" s="46"/>
    </row>
    <row r="218" spans="12:12" hidden="1" x14ac:dyDescent="0.25">
      <c r="L218" s="46"/>
    </row>
    <row r="219" spans="12:12" hidden="1" x14ac:dyDescent="0.25">
      <c r="L219" s="46"/>
    </row>
    <row r="220" spans="12:12" hidden="1" x14ac:dyDescent="0.25">
      <c r="L220" s="46"/>
    </row>
    <row r="221" spans="12:12" hidden="1" x14ac:dyDescent="0.25">
      <c r="L221" s="46"/>
    </row>
    <row r="222" spans="12:12" hidden="1" x14ac:dyDescent="0.25">
      <c r="L222" s="46"/>
    </row>
    <row r="223" spans="12:12" hidden="1" x14ac:dyDescent="0.25">
      <c r="L223" s="46"/>
    </row>
    <row r="224" spans="12:12" hidden="1" x14ac:dyDescent="0.25">
      <c r="L224" s="46"/>
    </row>
    <row r="225" spans="12:12" hidden="1" x14ac:dyDescent="0.25">
      <c r="L225" s="46"/>
    </row>
    <row r="226" spans="12:12" hidden="1" x14ac:dyDescent="0.25">
      <c r="L226" s="46"/>
    </row>
    <row r="227" spans="12:12" hidden="1" x14ac:dyDescent="0.25">
      <c r="L227" s="46"/>
    </row>
    <row r="228" spans="12:12" hidden="1" x14ac:dyDescent="0.25">
      <c r="L228" s="46"/>
    </row>
    <row r="229" spans="12:12" hidden="1" x14ac:dyDescent="0.25">
      <c r="L229" s="46"/>
    </row>
    <row r="230" spans="12:12" hidden="1" x14ac:dyDescent="0.25">
      <c r="L230" s="46"/>
    </row>
    <row r="231" spans="12:12" hidden="1" x14ac:dyDescent="0.25">
      <c r="L231" s="46"/>
    </row>
    <row r="232" spans="12:12" hidden="1" x14ac:dyDescent="0.25">
      <c r="L232" s="46"/>
    </row>
    <row r="233" spans="12:12" hidden="1" x14ac:dyDescent="0.25">
      <c r="L233" s="46"/>
    </row>
    <row r="234" spans="12:12" hidden="1" x14ac:dyDescent="0.25">
      <c r="L234" s="46"/>
    </row>
    <row r="235" spans="12:12" hidden="1" x14ac:dyDescent="0.25">
      <c r="L235" s="46"/>
    </row>
    <row r="236" spans="12:12" hidden="1" x14ac:dyDescent="0.25">
      <c r="L236" s="46"/>
    </row>
    <row r="237" spans="12:12" hidden="1" x14ac:dyDescent="0.25">
      <c r="L237" s="46"/>
    </row>
    <row r="238" spans="12:12" hidden="1" x14ac:dyDescent="0.25">
      <c r="L238" s="46"/>
    </row>
    <row r="239" spans="12:12" hidden="1" x14ac:dyDescent="0.25">
      <c r="L239" s="46"/>
    </row>
    <row r="240" spans="12:12" hidden="1" x14ac:dyDescent="0.25">
      <c r="L240" s="46"/>
    </row>
    <row r="241" spans="12:12" hidden="1" x14ac:dyDescent="0.25">
      <c r="L241" s="46"/>
    </row>
    <row r="242" spans="12:12" hidden="1" x14ac:dyDescent="0.25">
      <c r="L242" s="46"/>
    </row>
    <row r="243" spans="12:12" hidden="1" x14ac:dyDescent="0.25">
      <c r="L243" s="46"/>
    </row>
    <row r="244" spans="12:12" hidden="1" x14ac:dyDescent="0.25">
      <c r="L244" s="46"/>
    </row>
    <row r="245" spans="12:12" hidden="1" x14ac:dyDescent="0.25">
      <c r="L245" s="46"/>
    </row>
    <row r="246" spans="12:12" hidden="1" x14ac:dyDescent="0.25">
      <c r="L246" s="46"/>
    </row>
    <row r="247" spans="12:12" hidden="1" x14ac:dyDescent="0.25">
      <c r="L247" s="46"/>
    </row>
    <row r="248" spans="12:12" hidden="1" x14ac:dyDescent="0.25">
      <c r="L248" s="46"/>
    </row>
    <row r="249" spans="12:12" hidden="1" x14ac:dyDescent="0.25">
      <c r="L249" s="46"/>
    </row>
    <row r="250" spans="12:12" hidden="1" x14ac:dyDescent="0.25">
      <c r="L250" s="46"/>
    </row>
    <row r="251" spans="12:12" hidden="1" x14ac:dyDescent="0.25">
      <c r="L251" s="46"/>
    </row>
    <row r="252" spans="12:12" hidden="1" x14ac:dyDescent="0.25">
      <c r="L252" s="46"/>
    </row>
    <row r="253" spans="12:12" hidden="1" x14ac:dyDescent="0.25">
      <c r="L253" s="46"/>
    </row>
    <row r="254" spans="12:12" hidden="1" x14ac:dyDescent="0.25">
      <c r="L254" s="46"/>
    </row>
    <row r="255" spans="12:12" hidden="1" x14ac:dyDescent="0.25">
      <c r="L255" s="46"/>
    </row>
    <row r="256" spans="12:12" hidden="1" x14ac:dyDescent="0.25">
      <c r="L256" s="46"/>
    </row>
    <row r="257" spans="12:12" hidden="1" x14ac:dyDescent="0.25">
      <c r="L257" s="46"/>
    </row>
    <row r="258" spans="12:12" hidden="1" x14ac:dyDescent="0.25">
      <c r="L258" s="46"/>
    </row>
    <row r="259" spans="12:12" hidden="1" x14ac:dyDescent="0.25">
      <c r="L259" s="46"/>
    </row>
    <row r="260" spans="12:12" hidden="1" x14ac:dyDescent="0.25"/>
    <row r="261" spans="12:12" hidden="1" x14ac:dyDescent="0.25"/>
    <row r="262" spans="12:12" hidden="1" x14ac:dyDescent="0.25"/>
    <row r="263" spans="12:12" hidden="1" x14ac:dyDescent="0.25"/>
    <row r="264" spans="12:12" hidden="1" x14ac:dyDescent="0.25"/>
    <row r="265" spans="12:12" hidden="1" x14ac:dyDescent="0.25"/>
    <row r="266" spans="12:12" hidden="1" x14ac:dyDescent="0.25"/>
    <row r="267" spans="12:12" hidden="1" x14ac:dyDescent="0.25"/>
    <row r="268" spans="12:12" hidden="1" x14ac:dyDescent="0.25"/>
    <row r="269" spans="12:12" hidden="1" x14ac:dyDescent="0.25"/>
    <row r="270" spans="12:12" hidden="1" x14ac:dyDescent="0.25"/>
    <row r="271" spans="12:12" hidden="1" x14ac:dyDescent="0.25"/>
    <row r="272" spans="12:1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sheetData>
  <sheetProtection algorithmName="SHA-512" hashValue="YwfEDEDG7fbI33Ohsyg7i1xY4VHnXkck4esXfssSnoehVI2BKlVH9Lvb84pfDiFrhkiuUZuHBE1kcSC283fCcA==" saltValue="NkO9w564a3WJ72xZ/0MEEw==" spinCount="100000" sheet="1" objects="1" scenarios="1" formatRows="0"/>
  <mergeCells count="86">
    <mergeCell ref="H49:I49"/>
    <mergeCell ref="H50:I50"/>
    <mergeCell ref="H51:I51"/>
    <mergeCell ref="H57:I57"/>
    <mergeCell ref="H58:I58"/>
    <mergeCell ref="H52:I52"/>
    <mergeCell ref="H53:I53"/>
    <mergeCell ref="H54:I54"/>
    <mergeCell ref="H55:I55"/>
    <mergeCell ref="H56:I56"/>
    <mergeCell ref="A16:L16"/>
    <mergeCell ref="A1:L1"/>
    <mergeCell ref="A18:C18"/>
    <mergeCell ref="A35:C35"/>
    <mergeCell ref="J55:K55"/>
    <mergeCell ref="B14:E14"/>
    <mergeCell ref="B11:E11"/>
    <mergeCell ref="B13:E13"/>
    <mergeCell ref="H2:J4"/>
    <mergeCell ref="A9:K9"/>
    <mergeCell ref="B12:E12"/>
    <mergeCell ref="A5:L7"/>
    <mergeCell ref="J47:K47"/>
    <mergeCell ref="J48:K48"/>
    <mergeCell ref="H47:I47"/>
    <mergeCell ref="H48:I48"/>
    <mergeCell ref="J49:K49"/>
    <mergeCell ref="J50:K50"/>
    <mergeCell ref="J41:K41"/>
    <mergeCell ref="J42:K42"/>
    <mergeCell ref="J43:K43"/>
    <mergeCell ref="J44:K44"/>
    <mergeCell ref="J46:K46"/>
    <mergeCell ref="J45:K45"/>
    <mergeCell ref="J39:K39"/>
    <mergeCell ref="J40:K40"/>
    <mergeCell ref="B22:J22"/>
    <mergeCell ref="B23:J23"/>
    <mergeCell ref="H39:I39"/>
    <mergeCell ref="H40:I40"/>
    <mergeCell ref="H41:I41"/>
    <mergeCell ref="H42:I42"/>
    <mergeCell ref="H43:I43"/>
    <mergeCell ref="H44:I44"/>
    <mergeCell ref="H45:I45"/>
    <mergeCell ref="H46:I46"/>
    <mergeCell ref="A112:C112"/>
    <mergeCell ref="B66:F66"/>
    <mergeCell ref="B67:F67"/>
    <mergeCell ref="B109:F109"/>
    <mergeCell ref="B110:F110"/>
    <mergeCell ref="B102:F102"/>
    <mergeCell ref="B100:E100"/>
    <mergeCell ref="B104:D104"/>
    <mergeCell ref="B95:E95"/>
    <mergeCell ref="B96:E96"/>
    <mergeCell ref="B97:E97"/>
    <mergeCell ref="B93:C93"/>
    <mergeCell ref="B84:G84"/>
    <mergeCell ref="B80:J80"/>
    <mergeCell ref="A74:L74"/>
    <mergeCell ref="B65:F65"/>
    <mergeCell ref="H109:I109"/>
    <mergeCell ref="J51:K51"/>
    <mergeCell ref="J52:K52"/>
    <mergeCell ref="J53:K53"/>
    <mergeCell ref="J57:K57"/>
    <mergeCell ref="J54:K54"/>
    <mergeCell ref="J56:K56"/>
    <mergeCell ref="H59:I59"/>
    <mergeCell ref="B61:E61"/>
    <mergeCell ref="J58:K58"/>
    <mergeCell ref="J59:K59"/>
    <mergeCell ref="A63:C63"/>
    <mergeCell ref="A69:C69"/>
    <mergeCell ref="A76:C76"/>
    <mergeCell ref="H65:I65"/>
    <mergeCell ref="H66:I66"/>
    <mergeCell ref="H67:I67"/>
    <mergeCell ref="H110:I110"/>
    <mergeCell ref="B83:H83"/>
    <mergeCell ref="A106:C106"/>
    <mergeCell ref="A89:C89"/>
    <mergeCell ref="B85:G85"/>
    <mergeCell ref="B108:F108"/>
    <mergeCell ref="H108:I108"/>
  </mergeCells>
  <conditionalFormatting sqref="F12:H12">
    <cfRule type="expression" dxfId="342" priority="22">
      <formula>OR(#REF!="No",#REF!="Không")</formula>
    </cfRule>
  </conditionalFormatting>
  <conditionalFormatting sqref="F12:H12">
    <cfRule type="expression" dxfId="341" priority="23">
      <formula>OR($D12="No",$D12="Không")</formula>
    </cfRule>
    <cfRule type="expression" dxfId="340" priority="24">
      <formula>OR(#REF!="No",#REF!="Không")</formula>
    </cfRule>
  </conditionalFormatting>
  <conditionalFormatting sqref="G12">
    <cfRule type="expression" dxfId="339" priority="19">
      <formula>OR(#REF!="No",#REF!="Không")</formula>
    </cfRule>
  </conditionalFormatting>
  <conditionalFormatting sqref="G12">
    <cfRule type="expression" dxfId="338" priority="17">
      <formula>OR($D12="No",$D12="Không")</formula>
    </cfRule>
    <cfRule type="expression" dxfId="337" priority="18">
      <formula>OR(#REF!="No",#REF!="Không")</formula>
    </cfRule>
  </conditionalFormatting>
  <conditionalFormatting sqref="H12">
    <cfRule type="expression" dxfId="336" priority="16">
      <formula>OR(#REF!="No",#REF!="Không")</formula>
    </cfRule>
  </conditionalFormatting>
  <conditionalFormatting sqref="H12">
    <cfRule type="expression" dxfId="335" priority="14">
      <formula>OR($D12="No",$D12="Không")</formula>
    </cfRule>
    <cfRule type="expression" dxfId="334" priority="15">
      <formula>OR(#REF!="No",#REF!="Không")</formula>
    </cfRule>
  </conditionalFormatting>
  <conditionalFormatting sqref="B12">
    <cfRule type="expression" dxfId="333" priority="30">
      <formula>$D$98="Option B"</formula>
    </cfRule>
  </conditionalFormatting>
  <conditionalFormatting sqref="B12">
    <cfRule type="expression" dxfId="332" priority="31">
      <formula>$D$98="No"</formula>
    </cfRule>
  </conditionalFormatting>
  <conditionalFormatting sqref="F13:H13">
    <cfRule type="expression" dxfId="331" priority="9">
      <formula>OR(#REF!="No",#REF!="Không")</formula>
    </cfRule>
  </conditionalFormatting>
  <conditionalFormatting sqref="F13:H13">
    <cfRule type="expression" dxfId="330" priority="10">
      <formula>OR($D13="No",$D13="Không")</formula>
    </cfRule>
    <cfRule type="expression" dxfId="329" priority="11">
      <formula>OR(#REF!="No",#REF!="Không")</formula>
    </cfRule>
  </conditionalFormatting>
  <conditionalFormatting sqref="G13">
    <cfRule type="expression" dxfId="328" priority="8">
      <formula>OR(#REF!="No",#REF!="Không")</formula>
    </cfRule>
  </conditionalFormatting>
  <conditionalFormatting sqref="G13">
    <cfRule type="expression" dxfId="327" priority="6">
      <formula>OR($D13="No",$D13="Không")</formula>
    </cfRule>
    <cfRule type="expression" dxfId="326" priority="7">
      <formula>OR(#REF!="No",#REF!="Không")</formula>
    </cfRule>
  </conditionalFormatting>
  <conditionalFormatting sqref="H13">
    <cfRule type="expression" dxfId="325" priority="5">
      <formula>OR(#REF!="No",#REF!="Không")</formula>
    </cfRule>
  </conditionalFormatting>
  <conditionalFormatting sqref="H13">
    <cfRule type="expression" dxfId="324" priority="3">
      <formula>OR($D13="No",$D13="Không")</formula>
    </cfRule>
    <cfRule type="expression" dxfId="323" priority="4">
      <formula>OR(#REF!="No",#REF!="Không")</formula>
    </cfRule>
  </conditionalFormatting>
  <conditionalFormatting sqref="B13">
    <cfRule type="expression" dxfId="322" priority="12">
      <formula>$D$98="Option B"</formula>
    </cfRule>
  </conditionalFormatting>
  <conditionalFormatting sqref="B13">
    <cfRule type="expression" dxfId="321" priority="13">
      <formula>$D$98="No"</formula>
    </cfRule>
  </conditionalFormatting>
  <conditionalFormatting sqref="G109:G110">
    <cfRule type="expression" dxfId="320" priority="2">
      <formula>$B109="No evidence required at this submission stage"</formula>
    </cfRule>
  </conditionalFormatting>
  <conditionalFormatting sqref="G66:G67">
    <cfRule type="expression" dxfId="319" priority="1">
      <formula>$B66="No evidence required at this submission stage"</formula>
    </cfRule>
  </conditionalFormatting>
  <dataValidations count="4">
    <dataValidation type="list" allowBlank="1" showInputMessage="1" showErrorMessage="1" sqref="G40:G59" xr:uid="{00000000-0002-0000-1100-000000000000}">
      <formula1>"Select,Yes,No"</formula1>
    </dataValidation>
    <dataValidation allowBlank="1" showInputMessage="1" showErrorMessage="1" prompt="Provide details on the performance of the appliance/equipment as regards to energy efficiency labels." sqref="H40:I59" xr:uid="{00000000-0002-0000-1100-000001000000}"/>
    <dataValidation type="list" allowBlank="1" showInputMessage="1" showErrorMessage="1" sqref="G109:G110 G66:G67" xr:uid="{00000000-0002-0000-1100-000002000000}">
      <formula1>"Select,Submitted,Not submitted"</formula1>
    </dataValidation>
    <dataValidation type="list" allowBlank="1" showInputMessage="1" showErrorMessage="1" sqref="B40:B59" xr:uid="{00000000-0002-0000-1100-000003000000}">
      <formula1>"Select,washing machines,refrigerator and freezers,dishwashers,fans,televisions,computers,displays,rice cookers,others"</formula1>
    </dataValidation>
  </dataValidations>
  <hyperlinks>
    <hyperlink ref="K2" location="'E-1 Space cooling'!B3" tooltip="E-1" display="E-1" xr:uid="{00000000-0004-0000-1100-000000000000}"/>
    <hyperlink ref="K3" location="'E-2 Artificial Lighting'!B3" tooltip="E-2" display="E-2" xr:uid="{00000000-0004-0000-1100-000001000000}"/>
    <hyperlink ref="K4" location="'E-4 Energy Monitor'!B3" tooltip="E-4" display="E-4" xr:uid="{00000000-0004-0000-1100-000002000000}"/>
    <hyperlink ref="L3" location="'Energy BPC'!B3" tooltip="E-BPC" display="E-BPC" xr:uid="{00000000-0004-0000-1100-000003000000}"/>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58AB27"/>
  </sheetPr>
  <dimension ref="A1:N103"/>
  <sheetViews>
    <sheetView showRowColHeaders="0" workbookViewId="0">
      <pane ySplit="8" topLeftCell="A9" activePane="bottomLeft" state="frozen"/>
      <selection activeCell="B12" sqref="B12:O12"/>
      <selection pane="bottomLeft" activeCell="A8" sqref="A8:XFD9"/>
    </sheetView>
  </sheetViews>
  <sheetFormatPr defaultColWidth="0" defaultRowHeight="15" zeroHeight="1" x14ac:dyDescent="0.25"/>
  <cols>
    <col min="1" max="1" width="4.140625" style="35" customWidth="1"/>
    <col min="2" max="4" width="20.7109375" style="35" customWidth="1"/>
    <col min="5" max="5" width="19.5703125" style="35" customWidth="1"/>
    <col min="6" max="6" width="18.140625" style="35" customWidth="1"/>
    <col min="7" max="8" width="17.5703125" style="35" customWidth="1"/>
    <col min="9" max="9" width="13.5703125" style="35" customWidth="1"/>
    <col min="10" max="10" width="6.85546875" style="35" customWidth="1"/>
    <col min="11" max="12" width="7.7109375" style="35" customWidth="1"/>
    <col min="13" max="13" width="15.7109375" style="35" hidden="1" customWidth="1"/>
    <col min="14" max="16384" width="9.140625" style="35" hidden="1"/>
  </cols>
  <sheetData>
    <row r="1" spans="1:13" ht="25.5" customHeight="1" x14ac:dyDescent="0.25">
      <c r="A1" s="1743" t="s">
        <v>1495</v>
      </c>
      <c r="B1" s="1743"/>
      <c r="C1" s="1743"/>
      <c r="D1" s="1743"/>
      <c r="E1" s="1743"/>
      <c r="F1" s="1743"/>
      <c r="G1" s="1743"/>
      <c r="H1" s="1743"/>
      <c r="I1" s="1743"/>
      <c r="J1" s="1743"/>
      <c r="K1" s="1743"/>
      <c r="L1" s="1743"/>
    </row>
    <row r="2" spans="1:13" ht="15" customHeight="1" x14ac:dyDescent="0.25">
      <c r="A2" s="46"/>
      <c r="B2" s="46"/>
      <c r="C2" s="46"/>
      <c r="D2" s="46"/>
      <c r="E2" s="46"/>
      <c r="F2" s="45"/>
      <c r="G2" s="45"/>
      <c r="H2" s="1753" t="s">
        <v>139</v>
      </c>
      <c r="I2" s="1753"/>
      <c r="J2" s="1753"/>
      <c r="K2" s="122" t="s">
        <v>19</v>
      </c>
      <c r="L2" s="122"/>
    </row>
    <row r="3" spans="1:13" ht="15" customHeight="1" x14ac:dyDescent="0.25">
      <c r="A3" s="46"/>
      <c r="B3" s="46"/>
      <c r="C3" s="46"/>
      <c r="D3" s="46"/>
      <c r="E3" s="46"/>
      <c r="F3" s="45"/>
      <c r="G3" s="45"/>
      <c r="H3" s="1753"/>
      <c r="I3" s="1753"/>
      <c r="J3" s="1753"/>
      <c r="K3" s="122" t="s">
        <v>20</v>
      </c>
      <c r="L3" s="122" t="s">
        <v>1648</v>
      </c>
    </row>
    <row r="4" spans="1:13" ht="15" customHeight="1" x14ac:dyDescent="0.25">
      <c r="A4" s="46"/>
      <c r="B4" s="46"/>
      <c r="C4" s="46"/>
      <c r="D4" s="46"/>
      <c r="E4" s="46"/>
      <c r="F4" s="45"/>
      <c r="G4" s="45"/>
      <c r="H4" s="1754"/>
      <c r="I4" s="1754"/>
      <c r="J4" s="1754"/>
      <c r="K4" s="122" t="s">
        <v>21</v>
      </c>
      <c r="L4" s="122"/>
    </row>
    <row r="5" spans="1:13" ht="17.25" customHeight="1" x14ac:dyDescent="0.25">
      <c r="A5" s="1656" t="s">
        <v>2625</v>
      </c>
      <c r="B5" s="1657"/>
      <c r="C5" s="1657"/>
      <c r="D5" s="1657"/>
      <c r="E5" s="1657"/>
      <c r="F5" s="1657"/>
      <c r="G5" s="1657"/>
      <c r="H5" s="1657"/>
      <c r="I5" s="1657"/>
      <c r="J5" s="1657"/>
      <c r="K5" s="1657"/>
      <c r="L5" s="1658"/>
    </row>
    <row r="6" spans="1:13" ht="17.25" customHeight="1" x14ac:dyDescent="0.25">
      <c r="A6" s="1659"/>
      <c r="B6" s="1660"/>
      <c r="C6" s="1660"/>
      <c r="D6" s="1660"/>
      <c r="E6" s="1660"/>
      <c r="F6" s="1660"/>
      <c r="G6" s="1660"/>
      <c r="H6" s="1660"/>
      <c r="I6" s="1660"/>
      <c r="J6" s="1660"/>
      <c r="K6" s="1660"/>
      <c r="L6" s="1661"/>
    </row>
    <row r="7" spans="1:13" ht="17.25" customHeight="1" x14ac:dyDescent="0.25">
      <c r="A7" s="1662"/>
      <c r="B7" s="1663"/>
      <c r="C7" s="1663"/>
      <c r="D7" s="1663"/>
      <c r="E7" s="1663"/>
      <c r="F7" s="1663"/>
      <c r="G7" s="1663"/>
      <c r="H7" s="1663"/>
      <c r="I7" s="1663"/>
      <c r="J7" s="1663"/>
      <c r="K7" s="1663"/>
      <c r="L7" s="1664"/>
    </row>
    <row r="8" spans="1:13" ht="12" customHeight="1" x14ac:dyDescent="0.25">
      <c r="A8" s="45"/>
      <c r="B8" s="46"/>
      <c r="C8" s="46"/>
      <c r="D8" s="46"/>
      <c r="E8" s="46"/>
      <c r="F8" s="45"/>
      <c r="G8" s="45"/>
      <c r="H8" s="45"/>
      <c r="I8" s="45"/>
      <c r="J8" s="45"/>
      <c r="K8" s="45"/>
      <c r="L8" s="45"/>
      <c r="M8" s="45"/>
    </row>
    <row r="9" spans="1:13" ht="18" customHeight="1" x14ac:dyDescent="0.25">
      <c r="A9" s="1667" t="s">
        <v>82</v>
      </c>
      <c r="B9" s="1667"/>
      <c r="C9" s="1667"/>
      <c r="D9" s="1667"/>
      <c r="E9" s="1667"/>
      <c r="F9" s="1667"/>
      <c r="G9" s="1667"/>
      <c r="H9" s="1667"/>
      <c r="I9" s="1667"/>
      <c r="J9" s="1667"/>
      <c r="K9" s="1667"/>
      <c r="L9" s="1667"/>
    </row>
    <row r="10" spans="1:13" x14ac:dyDescent="0.25">
      <c r="A10" s="45"/>
      <c r="B10" s="46"/>
      <c r="C10" s="46"/>
      <c r="D10" s="46"/>
      <c r="E10" s="46"/>
      <c r="F10" s="45"/>
      <c r="G10" s="45"/>
      <c r="H10" s="45"/>
      <c r="I10" s="45"/>
      <c r="J10" s="45"/>
      <c r="K10" s="45"/>
      <c r="L10" s="45"/>
    </row>
    <row r="11" spans="1:13" ht="21" customHeight="1" x14ac:dyDescent="0.25">
      <c r="A11" s="45"/>
      <c r="B11" s="1795" t="s">
        <v>83</v>
      </c>
      <c r="C11" s="1796"/>
      <c r="D11" s="1796"/>
      <c r="E11" s="1796"/>
      <c r="F11" s="263" t="s">
        <v>64</v>
      </c>
      <c r="G11" s="263" t="s">
        <v>16</v>
      </c>
      <c r="H11" s="70" t="s">
        <v>133</v>
      </c>
      <c r="I11" s="45"/>
      <c r="J11" s="45"/>
      <c r="K11" s="45"/>
      <c r="L11" s="45"/>
    </row>
    <row r="12" spans="1:13" ht="22.5" customHeight="1" x14ac:dyDescent="0.25">
      <c r="A12" s="45"/>
      <c r="B12" s="1832" t="s">
        <v>1496</v>
      </c>
      <c r="C12" s="1833"/>
      <c r="D12" s="1833"/>
      <c r="E12" s="1834"/>
      <c r="F12" s="49">
        <v>1</v>
      </c>
      <c r="G12" s="49">
        <f>C40</f>
        <v>0</v>
      </c>
      <c r="H12" s="49" t="str">
        <f>C41</f>
        <v>No</v>
      </c>
      <c r="I12" s="45"/>
      <c r="J12" s="45"/>
      <c r="K12" s="45"/>
      <c r="L12" s="45"/>
    </row>
    <row r="13" spans="1:13" ht="15" customHeight="1" x14ac:dyDescent="0.25">
      <c r="A13" s="46"/>
      <c r="B13" s="46"/>
      <c r="C13" s="46"/>
      <c r="D13" s="46"/>
      <c r="E13" s="46"/>
      <c r="F13" s="45"/>
      <c r="G13" s="45"/>
      <c r="H13" s="45"/>
      <c r="I13" s="45"/>
      <c r="J13" s="45"/>
      <c r="K13" s="45"/>
      <c r="L13" s="45"/>
    </row>
    <row r="14" spans="1:13" ht="18" customHeight="1" x14ac:dyDescent="0.25">
      <c r="A14" s="1667" t="s">
        <v>102</v>
      </c>
      <c r="B14" s="1667"/>
      <c r="C14" s="1667"/>
      <c r="D14" s="1667"/>
      <c r="E14" s="1667"/>
      <c r="F14" s="1667"/>
      <c r="G14" s="1667"/>
      <c r="H14" s="1667"/>
      <c r="I14" s="1667"/>
      <c r="J14" s="1667"/>
      <c r="K14" s="1667"/>
      <c r="L14" s="1667"/>
    </row>
    <row r="15" spans="1:13" ht="12" customHeight="1" x14ac:dyDescent="0.25">
      <c r="A15" s="46"/>
      <c r="B15" s="46"/>
      <c r="C15" s="46"/>
      <c r="D15" s="46"/>
      <c r="E15" s="46"/>
      <c r="F15" s="46"/>
      <c r="G15" s="46"/>
      <c r="H15" s="46"/>
      <c r="I15" s="46"/>
      <c r="J15" s="46"/>
      <c r="K15" s="46"/>
      <c r="L15" s="46"/>
      <c r="M15" s="46"/>
    </row>
    <row r="16" spans="1:13" ht="15" customHeight="1" x14ac:dyDescent="0.25">
      <c r="A16" s="46"/>
      <c r="B16" s="544" t="s">
        <v>1497</v>
      </c>
      <c r="C16" s="46"/>
      <c r="D16" s="46"/>
      <c r="E16" s="46"/>
      <c r="F16" s="46"/>
      <c r="G16" s="46"/>
      <c r="H16" s="46"/>
      <c r="I16" s="46"/>
      <c r="J16" s="46"/>
      <c r="K16" s="46"/>
      <c r="L16" s="46"/>
      <c r="M16" s="46"/>
    </row>
    <row r="17" spans="1:14" ht="15" customHeight="1" x14ac:dyDescent="0.25">
      <c r="A17" s="46"/>
      <c r="B17" s="544"/>
      <c r="C17" s="46"/>
      <c r="D17" s="46"/>
      <c r="E17" s="46"/>
      <c r="F17" s="46"/>
      <c r="G17" s="46"/>
      <c r="H17" s="46"/>
      <c r="I17" s="46"/>
      <c r="J17" s="46"/>
      <c r="K17" s="46"/>
      <c r="L17" s="46"/>
      <c r="M17" s="46"/>
    </row>
    <row r="18" spans="1:14" ht="15" customHeight="1" x14ac:dyDescent="0.25">
      <c r="A18" s="46"/>
      <c r="B18" s="1844" t="s">
        <v>1498</v>
      </c>
      <c r="C18" s="1845"/>
      <c r="D18" s="1845"/>
      <c r="E18" s="1845"/>
      <c r="F18" s="1845"/>
      <c r="G18" s="1845"/>
      <c r="H18" s="1846"/>
      <c r="I18" s="46"/>
      <c r="J18" s="46"/>
      <c r="K18" s="46"/>
      <c r="L18" s="46"/>
      <c r="M18" s="46"/>
    </row>
    <row r="19" spans="1:14" ht="15" customHeight="1" x14ac:dyDescent="0.25">
      <c r="A19" s="46"/>
      <c r="B19" s="1838" t="s">
        <v>1793</v>
      </c>
      <c r="C19" s="1839"/>
      <c r="D19" s="1839"/>
      <c r="E19" s="1839"/>
      <c r="F19" s="1839"/>
      <c r="G19" s="1839"/>
      <c r="H19" s="1840"/>
      <c r="I19" s="46"/>
      <c r="J19" s="46"/>
      <c r="K19" s="46"/>
      <c r="L19" s="46"/>
      <c r="M19" s="46"/>
    </row>
    <row r="20" spans="1:14" ht="15" customHeight="1" x14ac:dyDescent="0.25">
      <c r="A20" s="46"/>
      <c r="B20" s="1838" t="s">
        <v>1499</v>
      </c>
      <c r="C20" s="1839"/>
      <c r="D20" s="1839"/>
      <c r="E20" s="1839"/>
      <c r="F20" s="1839"/>
      <c r="G20" s="1839"/>
      <c r="H20" s="1840"/>
      <c r="I20" s="46"/>
      <c r="J20" s="46"/>
      <c r="K20" s="46"/>
      <c r="L20" s="46"/>
      <c r="M20" s="46"/>
    </row>
    <row r="21" spans="1:14" ht="15" customHeight="1" x14ac:dyDescent="0.25">
      <c r="A21" s="46"/>
      <c r="B21" s="1841" t="s">
        <v>1500</v>
      </c>
      <c r="C21" s="1842"/>
      <c r="D21" s="1842"/>
      <c r="E21" s="1842"/>
      <c r="F21" s="1842"/>
      <c r="G21" s="1842"/>
      <c r="H21" s="1843"/>
      <c r="I21" s="46"/>
      <c r="J21" s="46"/>
      <c r="K21" s="46"/>
      <c r="L21" s="46"/>
      <c r="M21" s="46"/>
    </row>
    <row r="22" spans="1:14" ht="18.75" customHeight="1" x14ac:dyDescent="0.25">
      <c r="A22" s="46"/>
      <c r="B22" s="46"/>
      <c r="C22" s="46"/>
      <c r="D22" s="46"/>
      <c r="E22" s="46"/>
      <c r="F22" s="46"/>
      <c r="G22" s="46"/>
      <c r="H22" s="46"/>
      <c r="I22" s="46"/>
      <c r="J22" s="46"/>
      <c r="K22" s="46"/>
      <c r="L22" s="46"/>
      <c r="M22" s="46"/>
    </row>
    <row r="23" spans="1:14" ht="15" customHeight="1" x14ac:dyDescent="0.25">
      <c r="A23" s="46"/>
      <c r="B23" s="1836" t="s">
        <v>1501</v>
      </c>
      <c r="C23" s="1837"/>
      <c r="D23" s="1837"/>
      <c r="E23" s="1837"/>
      <c r="F23" s="1837"/>
      <c r="G23" s="46"/>
      <c r="H23" s="46"/>
      <c r="I23" s="46"/>
      <c r="J23" s="46"/>
      <c r="K23" s="46"/>
      <c r="L23" s="46"/>
      <c r="M23" s="46"/>
    </row>
    <row r="24" spans="1:14" ht="9" customHeight="1" x14ac:dyDescent="0.25">
      <c r="A24" s="46"/>
      <c r="B24" s="867"/>
      <c r="C24" s="866"/>
      <c r="D24" s="866"/>
      <c r="E24" s="866"/>
      <c r="F24" s="866"/>
      <c r="G24" s="46"/>
      <c r="H24" s="46"/>
      <c r="I24" s="46"/>
      <c r="J24" s="46"/>
      <c r="K24" s="46"/>
      <c r="L24" s="46"/>
      <c r="M24" s="46"/>
    </row>
    <row r="25" spans="1:14" ht="18" customHeight="1" x14ac:dyDescent="0.25">
      <c r="A25" s="46"/>
      <c r="B25" s="1726" t="s">
        <v>1502</v>
      </c>
      <c r="C25" s="1726"/>
      <c r="D25" s="1726"/>
      <c r="E25" s="1726"/>
      <c r="F25" s="1726"/>
      <c r="G25" s="865" t="s">
        <v>53</v>
      </c>
      <c r="H25" s="46"/>
      <c r="I25" s="46"/>
      <c r="J25" s="46"/>
      <c r="K25" s="46"/>
      <c r="L25" s="46"/>
      <c r="M25" s="46"/>
      <c r="N25" s="53" t="b">
        <v>0</v>
      </c>
    </row>
    <row r="26" spans="1:14" ht="18" customHeight="1" x14ac:dyDescent="0.25">
      <c r="A26" s="46"/>
      <c r="B26" s="1726" t="s">
        <v>1503</v>
      </c>
      <c r="C26" s="1726"/>
      <c r="D26" s="1726"/>
      <c r="E26" s="1726"/>
      <c r="F26" s="1726"/>
      <c r="G26" s="865" t="s">
        <v>53</v>
      </c>
      <c r="H26" s="46"/>
      <c r="I26" s="46"/>
      <c r="J26" s="46"/>
      <c r="K26" s="46"/>
      <c r="L26" s="46"/>
      <c r="M26" s="46"/>
      <c r="N26" s="53" t="b">
        <v>0</v>
      </c>
    </row>
    <row r="27" spans="1:14" ht="18" customHeight="1" x14ac:dyDescent="0.25">
      <c r="A27" s="46"/>
      <c r="B27" s="1726" t="s">
        <v>1504</v>
      </c>
      <c r="C27" s="1726"/>
      <c r="D27" s="1726"/>
      <c r="E27" s="1726"/>
      <c r="F27" s="1726"/>
      <c r="G27" s="865" t="s">
        <v>53</v>
      </c>
      <c r="H27" s="46"/>
      <c r="I27" s="46"/>
      <c r="J27" s="46"/>
      <c r="K27" s="46"/>
      <c r="L27" s="46"/>
      <c r="M27" s="46"/>
      <c r="N27" s="53" t="b">
        <v>0</v>
      </c>
    </row>
    <row r="28" spans="1:14" ht="18" customHeight="1" x14ac:dyDescent="0.25">
      <c r="A28" s="46"/>
      <c r="B28" s="1726" t="s">
        <v>1505</v>
      </c>
      <c r="C28" s="1726"/>
      <c r="D28" s="1726"/>
      <c r="E28" s="1726"/>
      <c r="F28" s="1726"/>
      <c r="G28" s="865" t="s">
        <v>53</v>
      </c>
      <c r="H28" s="46"/>
      <c r="I28" s="46"/>
      <c r="J28" s="46"/>
      <c r="K28" s="46"/>
      <c r="L28" s="46"/>
      <c r="M28" s="46"/>
      <c r="N28" s="53" t="b">
        <v>0</v>
      </c>
    </row>
    <row r="29" spans="1:14" ht="15" customHeight="1" x14ac:dyDescent="0.25">
      <c r="A29" s="46"/>
      <c r="B29" s="46"/>
      <c r="C29" s="46"/>
      <c r="D29" s="46"/>
      <c r="E29" s="46"/>
      <c r="F29" s="46"/>
      <c r="G29" s="46"/>
      <c r="H29" s="46"/>
      <c r="I29" s="46"/>
      <c r="J29" s="46"/>
      <c r="K29" s="46"/>
      <c r="L29" s="46"/>
      <c r="M29" s="46"/>
    </row>
    <row r="30" spans="1:14" ht="18" customHeight="1" x14ac:dyDescent="0.25">
      <c r="A30" s="46"/>
      <c r="B30" s="1666" t="s">
        <v>1506</v>
      </c>
      <c r="C30" s="1666"/>
      <c r="D30" s="116" t="str">
        <f>IF(COUNTIF(G25:G28,"Yes")=4,"Yes","No")</f>
        <v>No</v>
      </c>
      <c r="E30" s="46"/>
      <c r="F30" s="46"/>
      <c r="G30" s="46"/>
      <c r="H30" s="46"/>
      <c r="I30" s="46"/>
      <c r="J30" s="46"/>
      <c r="K30" s="46"/>
      <c r="L30" s="46"/>
      <c r="M30" s="46"/>
    </row>
    <row r="31" spans="1:14" ht="21" customHeight="1" x14ac:dyDescent="0.25">
      <c r="A31" s="46"/>
      <c r="B31" s="46"/>
      <c r="C31" s="46"/>
      <c r="D31" s="46"/>
      <c r="E31" s="46"/>
      <c r="F31" s="46"/>
      <c r="G31" s="46"/>
      <c r="H31" s="46"/>
      <c r="I31" s="46"/>
      <c r="J31" s="46"/>
      <c r="K31" s="46"/>
      <c r="L31" s="46"/>
    </row>
    <row r="32" spans="1:14" ht="18.75" customHeight="1" x14ac:dyDescent="0.25">
      <c r="A32" s="1667" t="s">
        <v>84</v>
      </c>
      <c r="B32" s="1667"/>
      <c r="C32" s="1667"/>
      <c r="D32" s="1667"/>
      <c r="E32" s="1667"/>
      <c r="F32" s="1667"/>
      <c r="G32" s="1667"/>
      <c r="H32" s="1667"/>
      <c r="I32" s="1667"/>
      <c r="J32" s="1667"/>
      <c r="K32" s="1667"/>
      <c r="L32" s="1667"/>
    </row>
    <row r="33" spans="1:13" x14ac:dyDescent="0.25">
      <c r="A33" s="45"/>
      <c r="B33" s="46"/>
      <c r="C33" s="46"/>
      <c r="D33" s="46"/>
      <c r="E33" s="45"/>
      <c r="F33" s="45"/>
      <c r="G33" s="45"/>
      <c r="H33" s="45"/>
      <c r="I33" s="45"/>
      <c r="J33" s="45"/>
      <c r="K33" s="45"/>
      <c r="L33" s="45"/>
    </row>
    <row r="34" spans="1:13" ht="21" customHeight="1" x14ac:dyDescent="0.25">
      <c r="A34" s="45"/>
      <c r="B34" s="1641" t="s">
        <v>85</v>
      </c>
      <c r="C34" s="1642"/>
      <c r="D34" s="1642"/>
      <c r="E34" s="1642"/>
      <c r="F34" s="1642"/>
      <c r="G34" s="603" t="s">
        <v>907</v>
      </c>
      <c r="H34" s="1638" t="s">
        <v>908</v>
      </c>
      <c r="I34" s="1639"/>
      <c r="J34" s="45"/>
      <c r="K34" s="45"/>
      <c r="L34" s="45"/>
    </row>
    <row r="35" spans="1:13" ht="24" customHeight="1" x14ac:dyDescent="0.25">
      <c r="A35" s="45"/>
      <c r="B35" s="1648" t="str">
        <f>Submittals!G39</f>
        <v>• Evidence showing that an energy monitor is installed such as photographs, invoices, etc.</v>
      </c>
      <c r="C35" s="1649"/>
      <c r="D35" s="1649"/>
      <c r="E35" s="1649"/>
      <c r="F35" s="1650"/>
      <c r="G35" s="614" t="s">
        <v>53</v>
      </c>
      <c r="H35" s="1689"/>
      <c r="I35" s="1690"/>
      <c r="J35" s="45"/>
      <c r="K35" s="45"/>
      <c r="L35" s="45"/>
      <c r="M35" s="35" t="str">
        <f>IF(OR(B35="/",B35="No evidence required at this submission stage"),"Yes",IF(G35="Submitted","Yes","No"))</f>
        <v>No</v>
      </c>
    </row>
    <row r="36" spans="1:13" ht="30" customHeight="1" x14ac:dyDescent="0.25">
      <c r="A36" s="45"/>
      <c r="B36" s="1648" t="str">
        <f>Submittals!G40</f>
        <v>• Evidence showing that the energy monitor can analyze data at regular intervals and can provide the data to a visual display or to a PC such as photographs, technical data, etc.</v>
      </c>
      <c r="C36" s="1649"/>
      <c r="D36" s="1649"/>
      <c r="E36" s="1649"/>
      <c r="F36" s="1650"/>
      <c r="G36" s="614" t="s">
        <v>53</v>
      </c>
      <c r="H36" s="1689"/>
      <c r="I36" s="1690"/>
      <c r="J36" s="45"/>
      <c r="K36" s="45"/>
      <c r="L36" s="45"/>
      <c r="M36" s="35" t="str">
        <f t="shared" ref="M36" si="0">IF(OR(C36="/",C36="No evidence required at this submission stage"),"Yes",IF(G36="Submitted","Yes","No"))</f>
        <v>No</v>
      </c>
    </row>
    <row r="37" spans="1:13" ht="19.5" customHeight="1" x14ac:dyDescent="0.25">
      <c r="A37" s="45"/>
      <c r="B37" s="46"/>
      <c r="C37" s="46"/>
      <c r="D37" s="46"/>
      <c r="E37" s="45"/>
      <c r="F37" s="45"/>
      <c r="G37" s="45"/>
      <c r="H37" s="45"/>
      <c r="I37" s="45"/>
      <c r="J37" s="45"/>
      <c r="K37" s="45"/>
      <c r="L37" s="45"/>
    </row>
    <row r="38" spans="1:13" ht="18" customHeight="1" x14ac:dyDescent="0.25">
      <c r="A38" s="1667" t="s">
        <v>5</v>
      </c>
      <c r="B38" s="1667"/>
      <c r="C38" s="1667"/>
      <c r="D38" s="1667"/>
      <c r="E38" s="1667"/>
      <c r="F38" s="1667"/>
      <c r="G38" s="1667"/>
      <c r="H38" s="1667"/>
      <c r="I38" s="1667"/>
      <c r="J38" s="1667"/>
      <c r="K38" s="1667"/>
      <c r="L38" s="1667"/>
    </row>
    <row r="39" spans="1:13" ht="16.5" customHeight="1" x14ac:dyDescent="0.25">
      <c r="A39" s="46"/>
      <c r="B39" s="46"/>
      <c r="C39" s="46"/>
      <c r="D39" s="46"/>
      <c r="E39" s="46"/>
      <c r="F39" s="46"/>
      <c r="G39" s="46"/>
      <c r="H39" s="46"/>
      <c r="I39" s="46"/>
      <c r="J39" s="46"/>
      <c r="K39" s="46"/>
      <c r="L39" s="46"/>
    </row>
    <row r="40" spans="1:13" ht="18" customHeight="1" x14ac:dyDescent="0.25">
      <c r="A40" s="46"/>
      <c r="B40" s="102" t="s">
        <v>16</v>
      </c>
      <c r="C40" s="8">
        <f>IF(D30="Yes",IF(D30="Yes",2,1),0)</f>
        <v>0</v>
      </c>
      <c r="D40" s="46"/>
      <c r="E40" s="46"/>
      <c r="F40" s="46"/>
      <c r="G40" s="46"/>
      <c r="H40" s="46"/>
      <c r="I40" s="46"/>
      <c r="J40" s="46"/>
      <c r="K40" s="46"/>
      <c r="L40" s="46"/>
    </row>
    <row r="41" spans="1:13" ht="18" customHeight="1" x14ac:dyDescent="0.25">
      <c r="A41" s="46"/>
      <c r="B41" s="102" t="s">
        <v>133</v>
      </c>
      <c r="C41" s="8" t="str">
        <f>IF(AND(COUNTIF(M35:M36,"Yes")=2,C40=1),"Yes",IF(AND(COUNTIF(M35:M36,"Yes")=4,C40=2),"Yes","No"))</f>
        <v>No</v>
      </c>
      <c r="D41" s="46"/>
      <c r="E41" s="46"/>
      <c r="F41" s="46"/>
      <c r="G41" s="46"/>
      <c r="H41" s="46"/>
      <c r="I41" s="46"/>
      <c r="J41" s="46"/>
      <c r="K41" s="46"/>
      <c r="L41" s="46"/>
    </row>
    <row r="42" spans="1:13" ht="21" customHeight="1" x14ac:dyDescent="0.25">
      <c r="A42" s="46"/>
      <c r="B42" s="46"/>
      <c r="C42" s="46"/>
      <c r="D42" s="46"/>
      <c r="E42" s="46"/>
      <c r="F42" s="46"/>
      <c r="G42" s="46"/>
      <c r="H42" s="46"/>
      <c r="I42" s="46"/>
      <c r="J42" s="46"/>
      <c r="K42" s="46"/>
      <c r="L42" s="46"/>
    </row>
    <row r="43" spans="1:13" ht="15" hidden="1" customHeight="1" x14ac:dyDescent="0.25">
      <c r="A43" s="46"/>
      <c r="B43" s="46"/>
      <c r="C43" s="46"/>
      <c r="D43" s="46"/>
      <c r="E43" s="46"/>
      <c r="F43" s="46"/>
      <c r="G43" s="46"/>
      <c r="H43" s="46"/>
      <c r="I43" s="46"/>
      <c r="J43" s="46"/>
      <c r="K43" s="46"/>
      <c r="L43" s="46"/>
    </row>
    <row r="44" spans="1:13" hidden="1" x14ac:dyDescent="0.25"/>
    <row r="45" spans="1:13" hidden="1" x14ac:dyDescent="0.25"/>
    <row r="46" spans="1:13" hidden="1" x14ac:dyDescent="0.25"/>
    <row r="47" spans="1:13" hidden="1" x14ac:dyDescent="0.25"/>
    <row r="48" spans="1: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sheetData>
  <sheetProtection algorithmName="SHA-512" hashValue="isIdOgfPAeio/CQo2GIp4ftTIBhahwNn3Smi1qo7MS0IM1YQyhqwZvo6nUboVBElTQHJtYd+Q6Z8/bfExACkcw==" saltValue="HQzqsyV690usEGkhhzpzOQ==" spinCount="100000" sheet="1" objects="1" scenarios="1" formatRows="0"/>
  <mergeCells count="25">
    <mergeCell ref="B19:H19"/>
    <mergeCell ref="B20:H20"/>
    <mergeCell ref="B21:H21"/>
    <mergeCell ref="B18:H18"/>
    <mergeCell ref="H35:I35"/>
    <mergeCell ref="B25:F25"/>
    <mergeCell ref="B27:F27"/>
    <mergeCell ref="B28:F28"/>
    <mergeCell ref="B30:C30"/>
    <mergeCell ref="H36:I36"/>
    <mergeCell ref="A38:L38"/>
    <mergeCell ref="A32:L32"/>
    <mergeCell ref="A1:L1"/>
    <mergeCell ref="B26:F26"/>
    <mergeCell ref="B35:F35"/>
    <mergeCell ref="B36:F36"/>
    <mergeCell ref="A5:L7"/>
    <mergeCell ref="H2:J4"/>
    <mergeCell ref="B11:E11"/>
    <mergeCell ref="B12:E12"/>
    <mergeCell ref="A14:L14"/>
    <mergeCell ref="A9:L9"/>
    <mergeCell ref="B34:F34"/>
    <mergeCell ref="H34:I34"/>
    <mergeCell ref="B23:F23"/>
  </mergeCells>
  <conditionalFormatting sqref="F12:G12">
    <cfRule type="expression" dxfId="318" priority="10">
      <formula>OR(#REF!="No",#REF!="Không")</formula>
    </cfRule>
  </conditionalFormatting>
  <conditionalFormatting sqref="F12:G12">
    <cfRule type="expression" dxfId="317" priority="11">
      <formula>OR($D12="No",$D12="Không")</formula>
    </cfRule>
    <cfRule type="expression" dxfId="316" priority="12">
      <formula>OR(#REF!="No",#REF!="Không")</formula>
    </cfRule>
  </conditionalFormatting>
  <conditionalFormatting sqref="B12">
    <cfRule type="expression" dxfId="315" priority="402">
      <formula>#REF!="Option B"</formula>
    </cfRule>
  </conditionalFormatting>
  <conditionalFormatting sqref="B12">
    <cfRule type="expression" dxfId="314" priority="403">
      <formula>#REF!="No"</formula>
    </cfRule>
  </conditionalFormatting>
  <conditionalFormatting sqref="H12">
    <cfRule type="expression" dxfId="313" priority="5">
      <formula>OR(#REF!="No",#REF!="Không")</formula>
    </cfRule>
  </conditionalFormatting>
  <conditionalFormatting sqref="H12">
    <cfRule type="expression" dxfId="312" priority="3">
      <formula>OR($D12="No",$D12="Không")</formula>
    </cfRule>
    <cfRule type="expression" dxfId="311" priority="4">
      <formula>OR(#REF!="No",#REF!="Không")</formula>
    </cfRule>
  </conditionalFormatting>
  <conditionalFormatting sqref="G35:G36">
    <cfRule type="expression" dxfId="310" priority="2">
      <formula>$B35="No evidence required at this submission stage"</formula>
    </cfRule>
  </conditionalFormatting>
  <dataValidations count="2">
    <dataValidation type="list" allowBlank="1" showInputMessage="1" showErrorMessage="1" sqref="G35:G36" xr:uid="{00000000-0002-0000-1200-000000000000}">
      <formula1>"Select,Submitted,Not submitted"</formula1>
    </dataValidation>
    <dataValidation type="list" allowBlank="1" showInputMessage="1" showErrorMessage="1" sqref="G25:G28" xr:uid="{00000000-0002-0000-1200-000001000000}">
      <formula1>"Select,Yes,No"</formula1>
    </dataValidation>
  </dataValidations>
  <hyperlinks>
    <hyperlink ref="K4" location="'E-3 Energy Efficient Appliances'!B3" tooltip="E-3" display="E-3" xr:uid="{00000000-0004-0000-1200-000000000000}"/>
    <hyperlink ref="K2" location="'E-1 Space cooling'!B3" tooltip="E-1" display="E-1" xr:uid="{00000000-0004-0000-1200-000001000000}"/>
    <hyperlink ref="K3" location="'E-2 Artificial Lighting'!B3" tooltip="E-2" display="E-2" xr:uid="{00000000-0004-0000-1200-000002000000}"/>
    <hyperlink ref="L3" location="'Energy BPC'!B3" tooltip="E-BPC" display="E-BPC" xr:uid="{00000000-0004-0000-1200-000003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A1:O46"/>
  <sheetViews>
    <sheetView showRowColHeaders="0" tabSelected="1" workbookViewId="0">
      <selection activeCell="A26" sqref="A26:N26"/>
    </sheetView>
  </sheetViews>
  <sheetFormatPr defaultColWidth="0" defaultRowHeight="15" zeroHeight="1" x14ac:dyDescent="0.25"/>
  <cols>
    <col min="1" max="4" width="9.7109375" customWidth="1"/>
    <col min="5" max="13" width="9.140625" customWidth="1"/>
    <col min="14" max="14" width="8.140625" customWidth="1"/>
    <col min="15" max="15" width="0" hidden="1" customWidth="1"/>
    <col min="16" max="16384" width="9.140625" hidden="1"/>
  </cols>
  <sheetData>
    <row r="1" spans="1:14" ht="15.75" x14ac:dyDescent="0.25">
      <c r="A1" s="1369" t="s">
        <v>2621</v>
      </c>
      <c r="B1" s="1369"/>
      <c r="C1" s="1369"/>
      <c r="D1" s="1369"/>
      <c r="E1" s="1369"/>
      <c r="F1" s="1369"/>
      <c r="G1" s="1369"/>
      <c r="H1" s="1369"/>
      <c r="I1" s="1369"/>
      <c r="J1" s="1369"/>
      <c r="K1" s="1369"/>
      <c r="L1" s="1369"/>
      <c r="M1" s="34"/>
      <c r="N1" s="34"/>
    </row>
    <row r="2" spans="1:14" x14ac:dyDescent="0.25">
      <c r="A2" s="34"/>
      <c r="B2" s="34"/>
      <c r="C2" s="34"/>
      <c r="D2" s="34"/>
      <c r="E2" s="34"/>
      <c r="F2" s="34"/>
      <c r="G2" s="34"/>
      <c r="H2" s="34"/>
      <c r="I2" s="34"/>
      <c r="J2" s="34"/>
      <c r="K2" s="34"/>
      <c r="L2" s="34"/>
      <c r="M2" s="34"/>
      <c r="N2" s="34"/>
    </row>
    <row r="3" spans="1:14" x14ac:dyDescent="0.25">
      <c r="A3" s="34"/>
      <c r="B3" s="34"/>
      <c r="C3" s="34"/>
      <c r="D3" s="34"/>
      <c r="E3" s="34"/>
      <c r="F3" s="34"/>
      <c r="G3" s="34"/>
      <c r="H3" s="34"/>
      <c r="I3" s="34"/>
      <c r="J3" s="34"/>
      <c r="K3" s="34"/>
      <c r="L3" s="34"/>
      <c r="M3" s="34"/>
      <c r="N3" s="34"/>
    </row>
    <row r="4" spans="1:14" x14ac:dyDescent="0.25">
      <c r="A4" s="34"/>
      <c r="B4" s="34"/>
      <c r="C4" s="34"/>
      <c r="D4" s="34"/>
      <c r="E4" s="34"/>
      <c r="F4" s="34"/>
      <c r="G4" s="34"/>
      <c r="H4" s="34"/>
      <c r="I4" s="34"/>
      <c r="J4" s="34"/>
      <c r="K4" s="34"/>
      <c r="L4" s="34"/>
      <c r="M4" s="34"/>
      <c r="N4" s="34"/>
    </row>
    <row r="5" spans="1:14" x14ac:dyDescent="0.25">
      <c r="A5" s="34"/>
      <c r="B5" s="34"/>
      <c r="C5" s="34"/>
      <c r="D5" s="34"/>
      <c r="E5" s="34"/>
      <c r="F5" s="34"/>
      <c r="G5" s="34"/>
      <c r="H5" s="34"/>
      <c r="I5" s="34"/>
      <c r="J5" s="34"/>
      <c r="K5" s="34"/>
      <c r="L5" s="34"/>
      <c r="M5" s="34"/>
      <c r="N5" s="34"/>
    </row>
    <row r="6" spans="1:14" ht="10.5" customHeight="1" x14ac:dyDescent="0.25">
      <c r="A6" s="34"/>
      <c r="B6" s="34"/>
      <c r="C6" s="34"/>
      <c r="D6" s="34"/>
      <c r="E6" s="34"/>
      <c r="F6" s="34"/>
      <c r="G6" s="34"/>
      <c r="H6" s="34"/>
      <c r="I6" s="34"/>
      <c r="J6" s="34"/>
      <c r="K6" s="34"/>
      <c r="L6" s="34"/>
      <c r="M6" s="34"/>
      <c r="N6" s="34"/>
    </row>
    <row r="7" spans="1:14" x14ac:dyDescent="0.25">
      <c r="A7" s="34"/>
      <c r="B7" s="34"/>
      <c r="C7" s="34"/>
      <c r="D7" s="34"/>
      <c r="E7" s="34"/>
      <c r="F7" s="34"/>
      <c r="G7" s="34"/>
      <c r="H7" s="34"/>
      <c r="I7" s="34"/>
      <c r="J7" s="34"/>
      <c r="K7" s="34"/>
      <c r="L7" s="34"/>
      <c r="M7" s="34"/>
      <c r="N7" s="34"/>
    </row>
    <row r="8" spans="1:14" x14ac:dyDescent="0.25">
      <c r="A8" s="34"/>
      <c r="B8" s="34"/>
      <c r="C8" s="34"/>
      <c r="D8" s="34"/>
      <c r="E8" s="34"/>
      <c r="F8" s="34"/>
      <c r="G8" s="34"/>
      <c r="H8" s="34"/>
      <c r="I8" s="34"/>
      <c r="J8" s="34"/>
      <c r="K8" s="34"/>
      <c r="L8" s="34"/>
      <c r="M8" s="34"/>
      <c r="N8" s="34"/>
    </row>
    <row r="9" spans="1:14" x14ac:dyDescent="0.25">
      <c r="A9" s="34"/>
      <c r="B9" s="34"/>
      <c r="C9" s="34"/>
      <c r="D9" s="34"/>
      <c r="E9" s="34"/>
      <c r="F9" s="34"/>
      <c r="G9" s="34"/>
      <c r="H9" s="34"/>
      <c r="I9" s="34"/>
      <c r="J9" s="34"/>
      <c r="K9" s="34"/>
      <c r="L9" s="34"/>
      <c r="M9" s="34"/>
      <c r="N9" s="34"/>
    </row>
    <row r="10" spans="1:14" x14ac:dyDescent="0.25">
      <c r="A10" s="34"/>
      <c r="B10" s="34"/>
      <c r="C10" s="34"/>
      <c r="D10" s="34"/>
      <c r="E10" s="34"/>
      <c r="F10" s="34"/>
      <c r="G10" s="34"/>
      <c r="H10" s="34"/>
      <c r="I10" s="34"/>
      <c r="J10" s="34"/>
      <c r="K10" s="34"/>
      <c r="L10" s="34"/>
      <c r="M10" s="34"/>
      <c r="N10" s="34"/>
    </row>
    <row r="11" spans="1:14" x14ac:dyDescent="0.25">
      <c r="A11" s="34"/>
      <c r="B11" s="34"/>
      <c r="C11" s="34"/>
      <c r="D11" s="34"/>
      <c r="E11" s="34"/>
      <c r="F11" s="34"/>
      <c r="G11" s="34"/>
      <c r="H11" s="34"/>
      <c r="I11" s="34"/>
      <c r="J11" s="34"/>
      <c r="K11" s="34"/>
      <c r="L11" s="34"/>
      <c r="M11" s="34"/>
      <c r="N11" s="34"/>
    </row>
    <row r="12" spans="1:14" x14ac:dyDescent="0.25">
      <c r="A12" s="34"/>
      <c r="B12" s="34"/>
      <c r="C12" s="34"/>
      <c r="D12" s="34"/>
      <c r="E12" s="34"/>
      <c r="F12" s="34"/>
      <c r="G12" s="34"/>
      <c r="H12" s="34"/>
      <c r="I12" s="34"/>
      <c r="J12" s="34"/>
      <c r="K12" s="34"/>
      <c r="L12" s="34"/>
      <c r="M12" s="34"/>
      <c r="N12" s="34"/>
    </row>
    <row r="13" spans="1:14" x14ac:dyDescent="0.25">
      <c r="A13" s="34"/>
      <c r="B13" s="34"/>
      <c r="C13" s="34"/>
      <c r="D13" s="34"/>
      <c r="E13" s="34"/>
      <c r="F13" s="34"/>
      <c r="G13" s="34"/>
      <c r="H13" s="34"/>
      <c r="I13" s="34"/>
      <c r="J13" s="34"/>
      <c r="K13" s="34"/>
      <c r="L13" s="34"/>
      <c r="M13" s="34"/>
      <c r="N13" s="34"/>
    </row>
    <row r="14" spans="1:14" s="1368" customFormat="1" ht="2.25" customHeight="1" x14ac:dyDescent="0.25">
      <c r="A14" s="1368" t="s">
        <v>840</v>
      </c>
    </row>
    <row r="15" spans="1:14" s="1368" customFormat="1" ht="36.75" customHeight="1" x14ac:dyDescent="0.25"/>
    <row r="16" spans="1:14" x14ac:dyDescent="0.25">
      <c r="A16" s="34"/>
      <c r="B16" s="34"/>
      <c r="C16" s="34"/>
      <c r="D16" s="34"/>
      <c r="E16" s="34"/>
      <c r="F16" s="34"/>
      <c r="G16" s="34"/>
      <c r="H16" s="34"/>
      <c r="I16" s="34"/>
      <c r="J16" s="34"/>
      <c r="K16" s="34"/>
      <c r="L16" s="34"/>
      <c r="M16" s="34"/>
      <c r="N16" s="34"/>
    </row>
    <row r="17" spans="1:14" x14ac:dyDescent="0.25">
      <c r="A17" s="34"/>
      <c r="B17" s="34"/>
      <c r="C17" s="34"/>
      <c r="D17" s="34"/>
      <c r="E17" s="34"/>
      <c r="F17" s="34"/>
      <c r="G17" s="34"/>
      <c r="H17" s="34"/>
      <c r="I17" s="34"/>
      <c r="J17" s="34"/>
      <c r="K17" s="34"/>
      <c r="L17" s="34"/>
      <c r="M17" s="34"/>
      <c r="N17" s="34"/>
    </row>
    <row r="18" spans="1:14" x14ac:dyDescent="0.25">
      <c r="A18" s="34"/>
      <c r="B18" s="34"/>
      <c r="C18" s="34"/>
      <c r="D18" s="34"/>
      <c r="E18" s="34"/>
      <c r="F18" s="34"/>
      <c r="G18" s="34"/>
      <c r="H18" s="34"/>
      <c r="I18" s="34"/>
      <c r="J18" s="34"/>
      <c r="K18" s="34"/>
      <c r="L18" s="34"/>
      <c r="M18" s="34"/>
      <c r="N18" s="34"/>
    </row>
    <row r="19" spans="1:14" x14ac:dyDescent="0.25">
      <c r="A19" s="34"/>
      <c r="B19" s="34"/>
      <c r="C19" s="34"/>
      <c r="D19" s="34"/>
      <c r="E19" s="34"/>
      <c r="F19" s="34"/>
      <c r="G19" s="34"/>
      <c r="H19" s="34"/>
      <c r="I19" s="34"/>
      <c r="J19" s="34"/>
      <c r="K19" s="34"/>
      <c r="L19" s="34"/>
      <c r="M19" s="34"/>
      <c r="N19" s="34"/>
    </row>
    <row r="20" spans="1:14" x14ac:dyDescent="0.25">
      <c r="A20" s="34"/>
      <c r="B20" s="34"/>
      <c r="C20" s="34"/>
      <c r="D20" s="34"/>
      <c r="E20" s="34"/>
      <c r="F20" s="34"/>
      <c r="G20" s="34"/>
      <c r="H20" s="34"/>
      <c r="I20" s="34"/>
      <c r="J20" s="34"/>
      <c r="K20" s="34"/>
      <c r="L20" s="34"/>
      <c r="M20" s="34"/>
      <c r="N20" s="34"/>
    </row>
    <row r="21" spans="1:14" x14ac:dyDescent="0.25">
      <c r="A21" s="34"/>
      <c r="B21" s="34"/>
      <c r="C21" s="34"/>
      <c r="D21" s="34"/>
      <c r="E21" s="34"/>
      <c r="F21" s="34"/>
      <c r="G21" s="34"/>
      <c r="H21" s="34"/>
      <c r="I21" s="34"/>
      <c r="J21" s="34"/>
      <c r="K21" s="34"/>
      <c r="L21" s="34"/>
      <c r="M21" s="34"/>
      <c r="N21" s="34"/>
    </row>
    <row r="22" spans="1:14" x14ac:dyDescent="0.25">
      <c r="A22" s="34"/>
      <c r="B22" s="34"/>
      <c r="C22" s="34"/>
      <c r="D22" s="34"/>
      <c r="E22" s="34"/>
      <c r="F22" s="34"/>
      <c r="G22" s="34"/>
      <c r="H22" s="34"/>
      <c r="I22" s="34"/>
      <c r="J22" s="34"/>
      <c r="K22" s="34"/>
      <c r="L22" s="34"/>
      <c r="M22" s="34"/>
      <c r="N22" s="34"/>
    </row>
    <row r="23" spans="1:14" x14ac:dyDescent="0.25">
      <c r="A23" s="34"/>
      <c r="B23" s="34"/>
      <c r="C23" s="34"/>
      <c r="D23" s="34"/>
      <c r="E23" s="34"/>
      <c r="F23" s="34"/>
      <c r="G23" s="34"/>
      <c r="H23" s="34"/>
      <c r="I23" s="34"/>
      <c r="J23" s="34"/>
      <c r="K23" s="34"/>
      <c r="L23" s="34"/>
      <c r="M23" s="34"/>
      <c r="N23" s="34"/>
    </row>
    <row r="24" spans="1:14" x14ac:dyDescent="0.25">
      <c r="A24" s="34"/>
      <c r="B24" s="34"/>
      <c r="C24" s="34"/>
      <c r="D24" s="34"/>
      <c r="E24" s="34"/>
      <c r="F24" s="34"/>
      <c r="G24" s="34"/>
      <c r="H24" s="34"/>
      <c r="I24" s="34"/>
      <c r="J24" s="34"/>
      <c r="K24" s="34"/>
      <c r="L24" s="34"/>
      <c r="M24" s="34"/>
      <c r="N24" s="34"/>
    </row>
    <row r="25" spans="1:14" ht="6" customHeight="1" x14ac:dyDescent="0.25">
      <c r="A25" s="34"/>
      <c r="B25" s="34"/>
      <c r="C25" s="34"/>
      <c r="D25" s="34"/>
      <c r="E25" s="34"/>
      <c r="F25" s="34"/>
      <c r="G25" s="34"/>
      <c r="H25" s="34"/>
      <c r="I25" s="34"/>
      <c r="J25" s="34"/>
      <c r="K25" s="34"/>
      <c r="L25" s="34"/>
      <c r="M25" s="34"/>
      <c r="N25" s="34"/>
    </row>
    <row r="26" spans="1:14" ht="14.25" customHeight="1" x14ac:dyDescent="0.25">
      <c r="A26" s="1367" t="s">
        <v>2655</v>
      </c>
      <c r="B26" s="1367"/>
      <c r="C26" s="1367"/>
      <c r="D26" s="1367"/>
      <c r="E26" s="1367"/>
      <c r="F26" s="1367"/>
      <c r="G26" s="1367"/>
      <c r="H26" s="1367"/>
      <c r="I26" s="1367"/>
      <c r="J26" s="1367"/>
      <c r="K26" s="1367"/>
      <c r="L26" s="1367"/>
      <c r="M26" s="1367"/>
      <c r="N26" s="1367"/>
    </row>
    <row r="27" spans="1:14" ht="72" customHeight="1" x14ac:dyDescent="0.25">
      <c r="A27" s="39"/>
      <c r="B27" s="366"/>
      <c r="C27" s="366"/>
      <c r="D27" s="366"/>
      <c r="E27" s="366"/>
      <c r="F27" s="366"/>
      <c r="G27" s="366"/>
      <c r="H27" s="366"/>
      <c r="I27" s="366"/>
      <c r="J27" s="366"/>
      <c r="K27" s="366"/>
      <c r="L27" s="366"/>
      <c r="M27" s="366"/>
      <c r="N27" s="366"/>
    </row>
    <row r="28" spans="1:14" hidden="1" x14ac:dyDescent="0.25"/>
    <row r="29" spans="1:14" hidden="1" x14ac:dyDescent="0.25"/>
    <row r="30" spans="1:14" hidden="1" x14ac:dyDescent="0.25"/>
    <row r="31" spans="1:14" hidden="1" x14ac:dyDescent="0.25"/>
    <row r="32" spans="1:1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algorithmName="SHA-512" hashValue="3OfKAGVHYrdD3YD4uugAep6ni0LWBPkwAz/XuY1veuVVrLgY4JmqLTqIwQE+i68xi75xpt+evclvHaWXo7unug==" saltValue="jWvVGkYgyDHn+BLf/7vQuQ==" spinCount="100000" sheet="1" objects="1" scenarios="1" formatRows="0" selectLockedCells="1" selectUnlockedCells="1"/>
  <mergeCells count="3">
    <mergeCell ref="A26:N26"/>
    <mergeCell ref="A14:XFD15"/>
    <mergeCell ref="A1:L1"/>
  </mergeCells>
  <pageMargins left="0.7" right="0.7" top="0.75" bottom="0.75" header="0.3" footer="0.3"/>
  <pageSetup orientation="portrait" horizontalDpi="30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58B527"/>
  </sheetPr>
  <dimension ref="A1:P151"/>
  <sheetViews>
    <sheetView showRowColHeaders="0" workbookViewId="0">
      <pane ySplit="7" topLeftCell="A8" activePane="bottomLeft" state="frozen"/>
      <selection activeCell="E9" sqref="E9:F9"/>
      <selection pane="bottomLeft" activeCell="E17" sqref="E17"/>
    </sheetView>
  </sheetViews>
  <sheetFormatPr defaultColWidth="0" defaultRowHeight="15" customHeight="1" zeroHeight="1" x14ac:dyDescent="0.25"/>
  <cols>
    <col min="1" max="1" width="4.5703125" style="35" customWidth="1"/>
    <col min="2" max="2" width="21.42578125" style="35" customWidth="1"/>
    <col min="3" max="3" width="20.7109375" style="35" customWidth="1"/>
    <col min="4" max="4" width="21" style="35" customWidth="1"/>
    <col min="5" max="5" width="22.140625" style="35" customWidth="1"/>
    <col min="6" max="6" width="20.7109375" style="35" customWidth="1"/>
    <col min="7" max="7" width="17.5703125" style="35" customWidth="1"/>
    <col min="8" max="8" width="21.28515625" style="35" customWidth="1"/>
    <col min="9" max="9" width="6.7109375" style="35" customWidth="1"/>
    <col min="10" max="10" width="7.85546875" style="35" customWidth="1"/>
    <col min="11" max="12" width="7.7109375" style="35" customWidth="1"/>
    <col min="13" max="13" width="9.140625" style="35" hidden="1" customWidth="1"/>
    <col min="14" max="14" width="35.28515625" style="35" hidden="1" customWidth="1"/>
    <col min="15" max="16384" width="9.140625" style="35" hidden="1"/>
  </cols>
  <sheetData>
    <row r="1" spans="1:15" ht="25.5" customHeight="1" x14ac:dyDescent="0.25">
      <c r="A1" s="1743" t="s">
        <v>1536</v>
      </c>
      <c r="B1" s="1743"/>
      <c r="C1" s="1743"/>
      <c r="D1" s="1743"/>
      <c r="E1" s="1743"/>
      <c r="F1" s="1743"/>
      <c r="G1" s="1743"/>
      <c r="H1" s="1743"/>
      <c r="I1" s="1743"/>
      <c r="J1" s="1743"/>
      <c r="K1" s="1743"/>
      <c r="L1" s="1743"/>
    </row>
    <row r="2" spans="1:15" ht="15" customHeight="1" x14ac:dyDescent="0.25">
      <c r="A2" s="46"/>
      <c r="B2" s="46"/>
      <c r="C2" s="46"/>
      <c r="D2" s="46"/>
      <c r="E2" s="46"/>
      <c r="F2" s="45"/>
      <c r="G2" s="45"/>
      <c r="H2" s="1835" t="s">
        <v>139</v>
      </c>
      <c r="I2" s="1835"/>
      <c r="J2" s="1835"/>
      <c r="K2" s="122" t="s">
        <v>19</v>
      </c>
      <c r="L2" s="122"/>
    </row>
    <row r="3" spans="1:15" ht="15" customHeight="1" x14ac:dyDescent="0.25">
      <c r="A3" s="46"/>
      <c r="B3" s="46"/>
      <c r="C3" s="46"/>
      <c r="D3" s="46"/>
      <c r="E3" s="46"/>
      <c r="F3" s="45"/>
      <c r="G3" s="45"/>
      <c r="H3" s="1835"/>
      <c r="I3" s="1835"/>
      <c r="J3" s="1835"/>
      <c r="K3" s="122" t="s">
        <v>20</v>
      </c>
      <c r="L3" s="122" t="s">
        <v>22</v>
      </c>
    </row>
    <row r="4" spans="1:15" ht="15" customHeight="1" x14ac:dyDescent="0.25">
      <c r="A4" s="46"/>
      <c r="B4" s="46"/>
      <c r="C4" s="46"/>
      <c r="D4" s="46"/>
      <c r="E4" s="46"/>
      <c r="F4" s="45"/>
      <c r="G4" s="45"/>
      <c r="H4" s="1850"/>
      <c r="I4" s="1850"/>
      <c r="J4" s="1850"/>
      <c r="K4" s="122" t="s">
        <v>21</v>
      </c>
      <c r="L4" s="122"/>
    </row>
    <row r="5" spans="1:15" ht="18" customHeight="1" x14ac:dyDescent="0.25">
      <c r="A5" s="1851" t="s">
        <v>2626</v>
      </c>
      <c r="B5" s="1852"/>
      <c r="C5" s="1852"/>
      <c r="D5" s="1852"/>
      <c r="E5" s="1852"/>
      <c r="F5" s="1852"/>
      <c r="G5" s="1852"/>
      <c r="H5" s="1852"/>
      <c r="I5" s="1852"/>
      <c r="J5" s="1852"/>
      <c r="K5" s="1852"/>
      <c r="L5" s="1853"/>
    </row>
    <row r="6" spans="1:15" ht="18" customHeight="1" x14ac:dyDescent="0.25">
      <c r="A6" s="1854"/>
      <c r="B6" s="1855"/>
      <c r="C6" s="1855"/>
      <c r="D6" s="1855"/>
      <c r="E6" s="1855"/>
      <c r="F6" s="1855"/>
      <c r="G6" s="1855"/>
      <c r="H6" s="1855"/>
      <c r="I6" s="1855"/>
      <c r="J6" s="1855"/>
      <c r="K6" s="1855"/>
      <c r="L6" s="1856"/>
      <c r="N6" s="45"/>
      <c r="O6" s="45"/>
    </row>
    <row r="7" spans="1:15" ht="9" customHeight="1" x14ac:dyDescent="0.25">
      <c r="A7" s="45"/>
      <c r="B7" s="46"/>
      <c r="C7" s="46"/>
      <c r="D7" s="46"/>
      <c r="E7" s="46"/>
      <c r="F7" s="45"/>
      <c r="G7" s="45"/>
      <c r="H7" s="45"/>
      <c r="I7" s="45"/>
      <c r="J7" s="45"/>
      <c r="K7" s="45"/>
      <c r="L7" s="45"/>
      <c r="N7" s="45"/>
    </row>
    <row r="8" spans="1:15" ht="18" customHeight="1" x14ac:dyDescent="0.25">
      <c r="A8" s="1667" t="s">
        <v>1537</v>
      </c>
      <c r="B8" s="1667"/>
      <c r="C8" s="1667"/>
      <c r="D8" s="1667"/>
      <c r="E8" s="1667"/>
      <c r="F8" s="1667"/>
      <c r="G8" s="1667"/>
      <c r="H8" s="1667"/>
      <c r="I8" s="1667"/>
      <c r="J8" s="1667"/>
      <c r="K8" s="1667"/>
      <c r="L8" s="1667"/>
    </row>
    <row r="9" spans="1:15" ht="15" customHeight="1" x14ac:dyDescent="0.25">
      <c r="A9" s="45"/>
      <c r="B9" s="45"/>
      <c r="C9" s="45"/>
      <c r="D9" s="45"/>
      <c r="E9" s="45"/>
      <c r="F9" s="45"/>
      <c r="G9" s="45"/>
      <c r="H9" s="45"/>
      <c r="I9" s="45"/>
      <c r="J9" s="45"/>
      <c r="K9" s="45"/>
      <c r="L9" s="45"/>
    </row>
    <row r="10" spans="1:15" ht="19.5" customHeight="1" x14ac:dyDescent="0.25">
      <c r="A10" s="45"/>
      <c r="B10" s="1795" t="s">
        <v>83</v>
      </c>
      <c r="C10" s="1796"/>
      <c r="D10" s="1796"/>
      <c r="E10" s="1796"/>
      <c r="F10" s="263" t="s">
        <v>64</v>
      </c>
      <c r="G10" s="263" t="s">
        <v>16</v>
      </c>
      <c r="H10" s="70" t="s">
        <v>133</v>
      </c>
      <c r="I10" s="45"/>
      <c r="J10" s="45"/>
      <c r="K10" s="45"/>
      <c r="L10" s="45"/>
    </row>
    <row r="11" spans="1:15" ht="31.5" customHeight="1" x14ac:dyDescent="0.25">
      <c r="A11" s="45"/>
      <c r="B11" s="1832" t="s">
        <v>2059</v>
      </c>
      <c r="C11" s="1833"/>
      <c r="D11" s="1833"/>
      <c r="E11" s="1834"/>
      <c r="F11" s="281">
        <v>1</v>
      </c>
      <c r="G11" s="281">
        <f>C43</f>
        <v>0</v>
      </c>
      <c r="H11" s="281" t="str">
        <f>C44</f>
        <v>No</v>
      </c>
      <c r="I11" s="45"/>
      <c r="J11" s="45"/>
      <c r="K11" s="45"/>
      <c r="L11" s="45"/>
      <c r="M11" s="35" t="str">
        <f>IF(G11&lt;&gt;0,IF(H11="No","No","Yes"),"Yes")</f>
        <v>Yes</v>
      </c>
    </row>
    <row r="12" spans="1:15" ht="30" customHeight="1" x14ac:dyDescent="0.25">
      <c r="A12" s="45"/>
      <c r="B12" s="1832" t="s">
        <v>2257</v>
      </c>
      <c r="C12" s="1833"/>
      <c r="D12" s="1833"/>
      <c r="E12" s="1834"/>
      <c r="F12" s="281">
        <v>1</v>
      </c>
      <c r="G12" s="281">
        <f>C92</f>
        <v>0</v>
      </c>
      <c r="H12" s="281" t="str">
        <f>C93</f>
        <v>No</v>
      </c>
      <c r="I12" s="45"/>
      <c r="J12" s="45"/>
      <c r="K12" s="45"/>
      <c r="L12" s="45"/>
      <c r="M12" s="35" t="str">
        <f t="shared" ref="M12" si="0">IF(G12&lt;&gt;0,IF(H12="No","No","Yes"),"Yes")</f>
        <v>Yes</v>
      </c>
    </row>
    <row r="13" spans="1:15" ht="18" customHeight="1" x14ac:dyDescent="0.25">
      <c r="A13" s="45"/>
      <c r="B13" s="1847" t="s">
        <v>25</v>
      </c>
      <c r="C13" s="1848"/>
      <c r="D13" s="1848"/>
      <c r="E13" s="1849"/>
      <c r="F13" s="908">
        <v>2</v>
      </c>
      <c r="G13" s="498">
        <f>SUM(G11:G12)</f>
        <v>0</v>
      </c>
      <c r="H13" s="498" t="str">
        <f>IF(COUNTIF(H11:H12,"No")=2,"No",IF(COUNTIF(M11:M12,"Yes")=2,"Yes","No"))</f>
        <v>No</v>
      </c>
      <c r="I13" s="45"/>
      <c r="J13" s="45"/>
      <c r="K13" s="45"/>
      <c r="L13" s="45"/>
    </row>
    <row r="14" spans="1:15" ht="18.75" customHeight="1" x14ac:dyDescent="0.25">
      <c r="A14" s="46"/>
      <c r="B14" s="46"/>
      <c r="C14" s="46"/>
      <c r="D14" s="46"/>
      <c r="E14" s="46"/>
      <c r="F14" s="45"/>
      <c r="G14" s="45"/>
      <c r="H14" s="45"/>
      <c r="I14" s="45"/>
      <c r="J14" s="45"/>
      <c r="K14" s="45"/>
      <c r="L14" s="45"/>
    </row>
    <row r="15" spans="1:15" ht="18" customHeight="1" x14ac:dyDescent="0.25">
      <c r="A15" s="1667" t="s">
        <v>1608</v>
      </c>
      <c r="B15" s="1667"/>
      <c r="C15" s="1667"/>
      <c r="D15" s="1667"/>
      <c r="E15" s="1667"/>
      <c r="F15" s="1667"/>
      <c r="G15" s="1667"/>
      <c r="H15" s="1667"/>
      <c r="I15" s="1667"/>
      <c r="J15" s="1667"/>
      <c r="K15" s="1667"/>
      <c r="L15" s="1667"/>
    </row>
    <row r="16" spans="1:15" ht="12" customHeight="1" x14ac:dyDescent="0.25">
      <c r="A16" s="46"/>
      <c r="B16" s="46"/>
      <c r="C16" s="46"/>
      <c r="D16" s="46"/>
      <c r="E16" s="46"/>
      <c r="F16" s="46"/>
      <c r="G16" s="46"/>
      <c r="H16" s="46"/>
      <c r="I16" s="46"/>
      <c r="J16" s="46"/>
      <c r="K16" s="46"/>
      <c r="L16" s="46"/>
    </row>
    <row r="17" spans="1:12" ht="16.5" customHeight="1" x14ac:dyDescent="0.25">
      <c r="A17" s="1688" t="s">
        <v>102</v>
      </c>
      <c r="B17" s="1688"/>
      <c r="C17" s="1688"/>
      <c r="D17" s="46"/>
      <c r="E17" s="46"/>
      <c r="F17" s="46"/>
      <c r="G17" s="46"/>
      <c r="H17" s="46"/>
      <c r="I17" s="46"/>
      <c r="J17" s="46"/>
      <c r="K17" s="46"/>
      <c r="L17" s="46"/>
    </row>
    <row r="18" spans="1:12" ht="15" customHeight="1" x14ac:dyDescent="0.25">
      <c r="A18" s="46"/>
      <c r="B18" s="46"/>
      <c r="C18" s="46"/>
      <c r="D18" s="46"/>
      <c r="E18" s="46"/>
      <c r="F18" s="46"/>
      <c r="G18" s="46"/>
      <c r="H18" s="46"/>
      <c r="I18" s="46"/>
      <c r="J18" s="46"/>
      <c r="K18" s="46"/>
      <c r="L18" s="46"/>
    </row>
    <row r="19" spans="1:12" ht="15" customHeight="1" x14ac:dyDescent="0.25">
      <c r="A19" s="46"/>
      <c r="B19" s="1860" t="s">
        <v>2060</v>
      </c>
      <c r="C19" s="1861"/>
      <c r="D19" s="1861"/>
      <c r="E19" s="1861"/>
      <c r="F19" s="1861"/>
      <c r="G19" s="1861"/>
      <c r="H19" s="1862"/>
      <c r="I19" s="46"/>
      <c r="J19" s="46"/>
      <c r="K19" s="46"/>
      <c r="L19" s="46"/>
    </row>
    <row r="20" spans="1:12" ht="15" customHeight="1" x14ac:dyDescent="0.25">
      <c r="A20" s="46"/>
      <c r="B20" s="1643" t="s">
        <v>2347</v>
      </c>
      <c r="C20" s="1644"/>
      <c r="D20" s="1644"/>
      <c r="E20" s="1644"/>
      <c r="F20" s="1644"/>
      <c r="G20" s="1644"/>
      <c r="H20" s="1645"/>
      <c r="I20" s="46"/>
      <c r="J20" s="46"/>
      <c r="K20" s="46"/>
      <c r="L20" s="46"/>
    </row>
    <row r="21" spans="1:12" ht="15" customHeight="1" x14ac:dyDescent="0.25">
      <c r="A21" s="46"/>
      <c r="B21" s="1857" t="s">
        <v>1538</v>
      </c>
      <c r="C21" s="1858"/>
      <c r="D21" s="1858"/>
      <c r="E21" s="1858"/>
      <c r="F21" s="1858"/>
      <c r="G21" s="1858"/>
      <c r="H21" s="1859"/>
      <c r="I21" s="46"/>
      <c r="J21" s="46"/>
      <c r="K21" s="46"/>
      <c r="L21" s="46"/>
    </row>
    <row r="22" spans="1:12" ht="15" customHeight="1" x14ac:dyDescent="0.25">
      <c r="A22" s="46"/>
      <c r="B22" s="1857" t="s">
        <v>1607</v>
      </c>
      <c r="C22" s="1858"/>
      <c r="D22" s="1858"/>
      <c r="E22" s="1858"/>
      <c r="F22" s="1858"/>
      <c r="G22" s="1858"/>
      <c r="H22" s="1859"/>
      <c r="I22" s="46"/>
      <c r="J22" s="46"/>
      <c r="K22" s="46"/>
      <c r="L22" s="46"/>
    </row>
    <row r="23" spans="1:12" ht="15" customHeight="1" x14ac:dyDescent="0.25">
      <c r="A23" s="46"/>
      <c r="B23" s="1857" t="s">
        <v>2348</v>
      </c>
      <c r="C23" s="1858"/>
      <c r="D23" s="1858"/>
      <c r="E23" s="1858"/>
      <c r="F23" s="1858"/>
      <c r="G23" s="1858"/>
      <c r="H23" s="1859"/>
      <c r="I23" s="46"/>
      <c r="J23" s="46"/>
      <c r="K23" s="46"/>
      <c r="L23" s="46"/>
    </row>
    <row r="24" spans="1:12" ht="15" customHeight="1" x14ac:dyDescent="0.25">
      <c r="A24" s="46"/>
      <c r="B24" s="1857" t="s">
        <v>1539</v>
      </c>
      <c r="C24" s="1858"/>
      <c r="D24" s="1858"/>
      <c r="E24" s="1858"/>
      <c r="F24" s="1858"/>
      <c r="G24" s="1858"/>
      <c r="H24" s="1859"/>
      <c r="I24" s="46"/>
      <c r="J24" s="46"/>
      <c r="K24" s="46"/>
      <c r="L24" s="46"/>
    </row>
    <row r="25" spans="1:12" ht="15" customHeight="1" x14ac:dyDescent="0.25">
      <c r="A25" s="46"/>
      <c r="B25" s="1682" t="s">
        <v>1540</v>
      </c>
      <c r="C25" s="1683"/>
      <c r="D25" s="1683"/>
      <c r="E25" s="1683"/>
      <c r="F25" s="1683"/>
      <c r="G25" s="1683"/>
      <c r="H25" s="1684"/>
      <c r="I25" s="46"/>
      <c r="J25" s="46"/>
      <c r="K25" s="46"/>
      <c r="L25" s="46"/>
    </row>
    <row r="26" spans="1:12" ht="17.25" customHeight="1" x14ac:dyDescent="0.25">
      <c r="A26" s="46"/>
      <c r="B26" s="46"/>
      <c r="C26" s="46"/>
      <c r="D26" s="46"/>
      <c r="E26" s="46"/>
      <c r="F26" s="46"/>
      <c r="G26" s="46"/>
      <c r="H26" s="46"/>
      <c r="I26" s="46"/>
      <c r="J26" s="46"/>
      <c r="K26" s="46"/>
      <c r="L26" s="46"/>
    </row>
    <row r="27" spans="1:12" x14ac:dyDescent="0.25">
      <c r="A27" s="46"/>
      <c r="B27" s="1836" t="s">
        <v>1541</v>
      </c>
      <c r="C27" s="1837"/>
      <c r="D27" s="1837"/>
      <c r="E27" s="1837"/>
      <c r="F27" s="1837"/>
      <c r="G27" s="46"/>
      <c r="H27" s="46"/>
      <c r="I27" s="46"/>
      <c r="J27" s="46"/>
      <c r="K27" s="46"/>
      <c r="L27" s="46"/>
    </row>
    <row r="28" spans="1:12" ht="9" customHeight="1" x14ac:dyDescent="0.25">
      <c r="A28" s="46"/>
      <c r="B28" s="46"/>
      <c r="C28" s="46"/>
      <c r="D28" s="46"/>
      <c r="E28" s="46"/>
      <c r="F28" s="46"/>
      <c r="G28" s="46"/>
      <c r="H28" s="46"/>
      <c r="I28" s="46"/>
      <c r="J28" s="46"/>
      <c r="K28" s="46"/>
      <c r="L28" s="46"/>
    </row>
    <row r="29" spans="1:12" ht="18" customHeight="1" x14ac:dyDescent="0.25">
      <c r="A29" s="46"/>
      <c r="B29" s="879" t="s">
        <v>1542</v>
      </c>
      <c r="C29" s="1638" t="s">
        <v>1543</v>
      </c>
      <c r="D29" s="1638"/>
      <c r="E29" s="1638" t="s">
        <v>12</v>
      </c>
      <c r="F29" s="1638"/>
      <c r="G29" s="1639"/>
      <c r="H29" s="46"/>
      <c r="I29" s="46"/>
      <c r="J29" s="46"/>
      <c r="K29" s="46"/>
      <c r="L29" s="46"/>
    </row>
    <row r="30" spans="1:12" ht="16.5" customHeight="1" x14ac:dyDescent="0.25">
      <c r="A30" s="46"/>
      <c r="B30" s="910" t="s">
        <v>53</v>
      </c>
      <c r="C30" s="1863"/>
      <c r="D30" s="1863"/>
      <c r="E30" s="1863"/>
      <c r="F30" s="1863"/>
      <c r="G30" s="1863"/>
      <c r="H30" s="46"/>
      <c r="I30" s="46"/>
      <c r="J30" s="46"/>
      <c r="K30" s="46"/>
      <c r="L30" s="46"/>
    </row>
    <row r="31" spans="1:12" ht="16.5" customHeight="1" x14ac:dyDescent="0.25">
      <c r="A31" s="46"/>
      <c r="B31" s="910" t="s">
        <v>53</v>
      </c>
      <c r="C31" s="1863"/>
      <c r="D31" s="1863"/>
      <c r="E31" s="1863"/>
      <c r="F31" s="1863"/>
      <c r="G31" s="1863"/>
      <c r="H31" s="46"/>
      <c r="I31" s="46"/>
      <c r="J31" s="46"/>
      <c r="K31" s="46"/>
      <c r="L31" s="46"/>
    </row>
    <row r="32" spans="1:12" ht="16.5" customHeight="1" x14ac:dyDescent="0.25">
      <c r="A32" s="46"/>
      <c r="B32" s="910" t="s">
        <v>53</v>
      </c>
      <c r="C32" s="1863"/>
      <c r="D32" s="1863"/>
      <c r="E32" s="1863"/>
      <c r="F32" s="1863"/>
      <c r="G32" s="1863"/>
      <c r="H32" s="46"/>
      <c r="I32" s="46"/>
      <c r="J32" s="46"/>
      <c r="K32" s="46"/>
      <c r="L32" s="46"/>
    </row>
    <row r="33" spans="1:13" ht="15" customHeight="1" x14ac:dyDescent="0.25">
      <c r="A33" s="46"/>
      <c r="B33" s="46"/>
      <c r="C33" s="46"/>
      <c r="D33" s="46"/>
      <c r="E33" s="46"/>
      <c r="F33" s="46"/>
      <c r="G33" s="46"/>
      <c r="H33" s="46"/>
      <c r="I33" s="46"/>
      <c r="J33" s="46"/>
      <c r="K33" s="46"/>
      <c r="L33" s="46"/>
    </row>
    <row r="34" spans="1:13" ht="18" customHeight="1" x14ac:dyDescent="0.25">
      <c r="A34" s="46"/>
      <c r="B34" s="1666" t="s">
        <v>1544</v>
      </c>
      <c r="C34" s="1666"/>
      <c r="D34" s="911" t="str">
        <f>IF(AND(B30&lt;&gt;"Select",C30&lt;&gt;"",B31&lt;&gt;"Select",C31&lt;&gt;""),IF(B30=B31,IF(AND(B32&lt;&gt;"Select",C32&lt;&gt;"",OR(B32&lt;&gt;B30,B32&lt;&gt;B31)),"Yes","No"),"Yes"),"No")</f>
        <v>No</v>
      </c>
      <c r="E34" s="46"/>
      <c r="F34" s="46"/>
      <c r="G34" s="46"/>
      <c r="H34" s="46"/>
      <c r="I34" s="46"/>
      <c r="J34" s="46"/>
      <c r="K34" s="46"/>
      <c r="L34" s="46"/>
    </row>
    <row r="35" spans="1:13" ht="21" customHeight="1" x14ac:dyDescent="0.25">
      <c r="A35" s="46"/>
      <c r="B35" s="46"/>
      <c r="C35" s="46"/>
      <c r="D35" s="46"/>
      <c r="E35" s="46"/>
      <c r="F35" s="46"/>
      <c r="G35" s="46"/>
      <c r="H35" s="46"/>
      <c r="I35" s="46"/>
      <c r="J35" s="46"/>
      <c r="K35" s="46"/>
      <c r="L35" s="46"/>
    </row>
    <row r="36" spans="1:13" ht="16.5" customHeight="1" x14ac:dyDescent="0.25">
      <c r="A36" s="1688" t="s">
        <v>84</v>
      </c>
      <c r="B36" s="1688"/>
      <c r="C36" s="1688"/>
      <c r="D36" s="46"/>
      <c r="E36" s="46"/>
      <c r="F36" s="46"/>
      <c r="G36" s="46"/>
      <c r="H36" s="46"/>
      <c r="I36" s="46"/>
      <c r="J36" s="46"/>
      <c r="K36" s="46"/>
      <c r="L36" s="46"/>
    </row>
    <row r="37" spans="1:13" x14ac:dyDescent="0.25">
      <c r="A37" s="45"/>
      <c r="B37" s="46"/>
      <c r="C37" s="46"/>
      <c r="D37" s="46"/>
      <c r="E37" s="46"/>
      <c r="F37" s="46"/>
      <c r="G37" s="46"/>
      <c r="H37" s="46"/>
      <c r="I37" s="46"/>
      <c r="J37" s="46"/>
      <c r="K37" s="46"/>
      <c r="L37" s="46"/>
    </row>
    <row r="38" spans="1:13" ht="18" customHeight="1" x14ac:dyDescent="0.25">
      <c r="A38" s="45"/>
      <c r="B38" s="1641" t="s">
        <v>1530</v>
      </c>
      <c r="C38" s="1642"/>
      <c r="D38" s="1642"/>
      <c r="E38" s="1642"/>
      <c r="F38" s="1642"/>
      <c r="G38" s="870" t="s">
        <v>907</v>
      </c>
      <c r="H38" s="1638" t="s">
        <v>908</v>
      </c>
      <c r="I38" s="1639"/>
      <c r="J38" s="45"/>
      <c r="K38" s="45"/>
      <c r="L38" s="45"/>
    </row>
    <row r="39" spans="1:13" ht="24" customHeight="1" x14ac:dyDescent="0.25">
      <c r="A39" s="45"/>
      <c r="B39" s="1648" t="str">
        <f>Submittals!F41</f>
        <v>• Evidence showing that the energy control solutions are installed such as photographs, invoices, etc.</v>
      </c>
      <c r="C39" s="1649"/>
      <c r="D39" s="1649"/>
      <c r="E39" s="1649"/>
      <c r="F39" s="1650"/>
      <c r="G39" s="871" t="s">
        <v>53</v>
      </c>
      <c r="H39" s="1651"/>
      <c r="I39" s="1652"/>
      <c r="J39" s="45"/>
      <c r="K39" s="45"/>
      <c r="L39" s="45"/>
      <c r="M39" s="35" t="str">
        <f>IF(OR(B39="/",B39="No evidence required at this submission stage"),"Yes",IF(G39="Submitted","Yes","No"))</f>
        <v>No</v>
      </c>
    </row>
    <row r="40" spans="1:13" ht="19.5" customHeight="1" x14ac:dyDescent="0.25">
      <c r="A40" s="45"/>
      <c r="B40" s="46"/>
      <c r="C40" s="46"/>
      <c r="D40" s="46"/>
      <c r="E40" s="45"/>
      <c r="F40" s="45"/>
      <c r="G40" s="45"/>
      <c r="H40" s="45"/>
      <c r="I40" s="45"/>
      <c r="J40" s="45"/>
      <c r="K40" s="45"/>
      <c r="L40" s="45"/>
    </row>
    <row r="41" spans="1:13" ht="16.5" customHeight="1" x14ac:dyDescent="0.25">
      <c r="A41" s="1688" t="s">
        <v>5</v>
      </c>
      <c r="B41" s="1688"/>
      <c r="C41" s="1688"/>
      <c r="D41" s="46"/>
      <c r="E41" s="46"/>
      <c r="F41" s="46"/>
      <c r="G41" s="46"/>
      <c r="H41" s="46"/>
      <c r="I41" s="46"/>
      <c r="J41" s="46"/>
      <c r="K41" s="46"/>
      <c r="L41" s="46"/>
    </row>
    <row r="42" spans="1:13" ht="15" customHeight="1" x14ac:dyDescent="0.25">
      <c r="A42" s="46"/>
      <c r="B42" s="46"/>
      <c r="C42" s="46"/>
      <c r="D42" s="46"/>
      <c r="E42" s="46"/>
      <c r="F42" s="46"/>
      <c r="G42" s="46"/>
      <c r="H42" s="46"/>
      <c r="I42" s="46"/>
      <c r="J42" s="46"/>
      <c r="K42" s="46"/>
      <c r="L42" s="46"/>
    </row>
    <row r="43" spans="1:13" ht="18" customHeight="1" x14ac:dyDescent="0.25">
      <c r="A43" s="46"/>
      <c r="B43" s="102" t="s">
        <v>16</v>
      </c>
      <c r="C43" s="8">
        <f>IF(D34="Yes",1,0)</f>
        <v>0</v>
      </c>
      <c r="D43" s="46"/>
      <c r="E43" s="46"/>
      <c r="F43" s="46"/>
      <c r="G43" s="46"/>
      <c r="H43" s="46"/>
      <c r="I43" s="46"/>
      <c r="J43" s="46"/>
      <c r="K43" s="46"/>
      <c r="L43" s="46"/>
    </row>
    <row r="44" spans="1:13" ht="18" customHeight="1" x14ac:dyDescent="0.25">
      <c r="A44" s="46"/>
      <c r="B44" s="102" t="s">
        <v>133</v>
      </c>
      <c r="C44" s="8" t="str">
        <f>IF(AND(COUNTIF(M39,"Yes")=1,C43&gt;0),"Yes","No")</f>
        <v>No</v>
      </c>
      <c r="D44" s="46"/>
      <c r="E44" s="46"/>
      <c r="F44" s="46"/>
      <c r="G44" s="46"/>
      <c r="H44" s="46"/>
      <c r="I44" s="46"/>
      <c r="J44" s="46"/>
      <c r="K44" s="46"/>
      <c r="L44" s="46"/>
    </row>
    <row r="45" spans="1:13" ht="21" customHeight="1" x14ac:dyDescent="0.25">
      <c r="A45" s="46"/>
      <c r="B45" s="46"/>
      <c r="C45" s="46"/>
      <c r="D45" s="46"/>
      <c r="E45" s="46"/>
      <c r="F45" s="45"/>
      <c r="G45" s="45"/>
      <c r="H45" s="45"/>
      <c r="I45" s="45"/>
      <c r="J45" s="45"/>
      <c r="K45" s="45"/>
      <c r="L45" s="45"/>
    </row>
    <row r="46" spans="1:13" ht="18" customHeight="1" x14ac:dyDescent="0.25">
      <c r="A46" s="1667" t="s">
        <v>1609</v>
      </c>
      <c r="B46" s="1667"/>
      <c r="C46" s="1667"/>
      <c r="D46" s="1667"/>
      <c r="E46" s="1667"/>
      <c r="F46" s="1667"/>
      <c r="G46" s="1667"/>
      <c r="H46" s="1667"/>
      <c r="I46" s="1667"/>
      <c r="J46" s="1667"/>
      <c r="K46" s="1667"/>
      <c r="L46" s="1667"/>
    </row>
    <row r="47" spans="1:13" ht="15" customHeight="1" x14ac:dyDescent="0.25">
      <c r="A47" s="46"/>
      <c r="B47" s="46"/>
      <c r="C47" s="46"/>
      <c r="D47" s="46"/>
      <c r="E47" s="46"/>
      <c r="F47" s="46"/>
      <c r="G47" s="46"/>
      <c r="H47" s="46"/>
      <c r="I47" s="46"/>
      <c r="J47" s="46"/>
      <c r="K47" s="46"/>
      <c r="L47" s="46"/>
    </row>
    <row r="48" spans="1:13" ht="16.5" customHeight="1" x14ac:dyDescent="0.25">
      <c r="A48" s="1688" t="s">
        <v>102</v>
      </c>
      <c r="B48" s="1688"/>
      <c r="C48" s="1688"/>
      <c r="D48" s="46"/>
      <c r="E48" s="46"/>
      <c r="F48" s="46"/>
      <c r="G48" s="46"/>
      <c r="H48" s="46"/>
      <c r="I48" s="46"/>
      <c r="J48" s="46"/>
      <c r="K48" s="46"/>
      <c r="L48" s="46"/>
    </row>
    <row r="49" spans="1:12" ht="15" customHeight="1" x14ac:dyDescent="0.25">
      <c r="A49" s="46"/>
      <c r="B49" s="46"/>
      <c r="C49" s="46"/>
      <c r="D49" s="46"/>
      <c r="E49" s="46"/>
      <c r="F49" s="46"/>
      <c r="G49" s="46"/>
      <c r="H49" s="46"/>
      <c r="I49" s="46"/>
      <c r="J49" s="46"/>
      <c r="K49" s="46"/>
      <c r="L49" s="46"/>
    </row>
    <row r="50" spans="1:12" ht="15" customHeight="1" x14ac:dyDescent="0.25">
      <c r="A50" s="46"/>
      <c r="B50" s="1205" t="s">
        <v>1546</v>
      </c>
      <c r="C50" s="415"/>
      <c r="D50" s="415"/>
      <c r="E50" s="415"/>
      <c r="F50" s="415"/>
      <c r="G50" s="416"/>
      <c r="H50" s="46"/>
      <c r="I50" s="46"/>
      <c r="J50" s="46"/>
      <c r="K50" s="46"/>
      <c r="L50" s="46"/>
    </row>
    <row r="51" spans="1:12" ht="15" customHeight="1" x14ac:dyDescent="0.25">
      <c r="A51" s="46"/>
      <c r="B51" s="1214" t="s">
        <v>2254</v>
      </c>
      <c r="C51" s="417"/>
      <c r="D51" s="417"/>
      <c r="E51" s="417"/>
      <c r="F51" s="417"/>
      <c r="G51" s="418"/>
      <c r="H51" s="46"/>
      <c r="I51" s="46"/>
      <c r="J51" s="46"/>
      <c r="K51" s="46"/>
      <c r="L51" s="46"/>
    </row>
    <row r="52" spans="1:12" ht="15" customHeight="1" x14ac:dyDescent="0.25">
      <c r="A52" s="46"/>
      <c r="B52" s="1207" t="s">
        <v>2258</v>
      </c>
      <c r="C52" s="419"/>
      <c r="D52" s="419"/>
      <c r="E52" s="419"/>
      <c r="F52" s="419"/>
      <c r="G52" s="420"/>
      <c r="H52" s="46"/>
      <c r="I52" s="46"/>
      <c r="J52" s="46"/>
      <c r="K52" s="46"/>
      <c r="L52" s="46"/>
    </row>
    <row r="53" spans="1:12" ht="15" customHeight="1" x14ac:dyDescent="0.25">
      <c r="A53" s="46"/>
      <c r="B53" s="46"/>
      <c r="C53" s="46"/>
      <c r="D53" s="46"/>
      <c r="E53" s="46"/>
      <c r="F53" s="46"/>
      <c r="G53" s="46"/>
      <c r="H53" s="46"/>
      <c r="I53" s="46"/>
      <c r="J53" s="46"/>
      <c r="K53" s="46"/>
      <c r="L53" s="46"/>
    </row>
    <row r="54" spans="1:12" ht="15" customHeight="1" x14ac:dyDescent="0.25">
      <c r="A54" s="46"/>
      <c r="B54" s="112" t="s">
        <v>1547</v>
      </c>
      <c r="C54" s="46"/>
      <c r="D54" s="46"/>
      <c r="E54" s="46"/>
      <c r="F54" s="46"/>
      <c r="G54" s="46"/>
      <c r="H54" s="46"/>
      <c r="I54" s="46"/>
      <c r="J54" s="46"/>
      <c r="K54" s="46"/>
      <c r="L54" s="46"/>
    </row>
    <row r="55" spans="1:12" ht="9" customHeight="1" x14ac:dyDescent="0.25">
      <c r="A55" s="46"/>
      <c r="B55" s="46"/>
      <c r="C55" s="46"/>
      <c r="D55" s="46"/>
      <c r="E55" s="46"/>
      <c r="F55" s="46"/>
      <c r="G55" s="46"/>
      <c r="H55" s="46"/>
      <c r="I55" s="46"/>
      <c r="J55" s="46"/>
      <c r="K55" s="46"/>
      <c r="L55" s="46"/>
    </row>
    <row r="56" spans="1:12" ht="15" customHeight="1" x14ac:dyDescent="0.25">
      <c r="A56" s="46"/>
      <c r="B56" s="692" t="s">
        <v>698</v>
      </c>
      <c r="C56" s="46"/>
      <c r="D56" s="46"/>
      <c r="E56" s="46"/>
      <c r="F56" s="46"/>
      <c r="G56" s="46"/>
      <c r="H56" s="46"/>
      <c r="I56" s="46"/>
      <c r="J56" s="46"/>
      <c r="K56" s="46"/>
      <c r="L56" s="46"/>
    </row>
    <row r="57" spans="1:12" ht="10.5" customHeight="1" x14ac:dyDescent="0.25">
      <c r="A57" s="46"/>
      <c r="B57" s="46"/>
      <c r="C57" s="46"/>
      <c r="D57" s="46"/>
      <c r="E57" s="46"/>
      <c r="F57" s="46"/>
      <c r="G57" s="46"/>
      <c r="H57" s="46"/>
      <c r="I57" s="46"/>
      <c r="J57" s="46"/>
      <c r="K57" s="46"/>
      <c r="L57" s="46"/>
    </row>
    <row r="58" spans="1:12" ht="18" customHeight="1" x14ac:dyDescent="0.25">
      <c r="A58" s="46"/>
      <c r="B58" s="1726" t="s">
        <v>1606</v>
      </c>
      <c r="C58" s="1726"/>
      <c r="D58" s="1726"/>
      <c r="E58" s="1726"/>
      <c r="F58" s="909" t="s">
        <v>53</v>
      </c>
      <c r="G58" s="46"/>
      <c r="H58" s="46"/>
      <c r="I58" s="46"/>
      <c r="J58" s="46"/>
      <c r="K58" s="46"/>
      <c r="L58" s="46"/>
    </row>
    <row r="59" spans="1:12" ht="18" customHeight="1" x14ac:dyDescent="0.25">
      <c r="A59" s="46"/>
      <c r="B59" s="1726" t="s">
        <v>1548</v>
      </c>
      <c r="C59" s="1726"/>
      <c r="D59" s="1726"/>
      <c r="E59" s="1726"/>
      <c r="F59" s="912"/>
      <c r="G59" s="46"/>
      <c r="H59" s="46"/>
      <c r="I59" s="46"/>
      <c r="J59" s="46"/>
      <c r="K59" s="46"/>
      <c r="L59" s="46"/>
    </row>
    <row r="60" spans="1:12" x14ac:dyDescent="0.25">
      <c r="A60" s="46"/>
      <c r="B60" s="46"/>
      <c r="C60" s="46"/>
      <c r="D60" s="46"/>
      <c r="E60" s="46"/>
      <c r="F60" s="46"/>
      <c r="G60" s="46"/>
      <c r="H60" s="46"/>
      <c r="I60" s="46"/>
      <c r="J60" s="46"/>
      <c r="K60" s="46"/>
      <c r="L60" s="46"/>
    </row>
    <row r="61" spans="1:12" ht="18" customHeight="1" x14ac:dyDescent="0.25">
      <c r="A61" s="46"/>
      <c r="B61" s="1631" t="s">
        <v>1549</v>
      </c>
      <c r="C61" s="1632"/>
      <c r="D61" s="1633"/>
      <c r="E61" s="913" t="str">
        <f>IF(AND(F59&lt;&gt;"",F58="Yes"),"Yes","No")</f>
        <v>No</v>
      </c>
      <c r="F61" s="46"/>
      <c r="G61" s="46"/>
      <c r="H61" s="46"/>
      <c r="I61" s="46"/>
      <c r="J61" s="46"/>
      <c r="K61" s="46"/>
      <c r="L61" s="46"/>
    </row>
    <row r="62" spans="1:12" ht="15.75" customHeight="1" x14ac:dyDescent="0.25">
      <c r="A62" s="46"/>
      <c r="B62" s="46"/>
      <c r="C62" s="46"/>
      <c r="D62" s="46"/>
      <c r="E62" s="46"/>
      <c r="F62" s="46"/>
      <c r="G62" s="46"/>
      <c r="H62" s="46"/>
      <c r="I62" s="46"/>
      <c r="J62" s="46"/>
      <c r="K62" s="46"/>
      <c r="L62" s="46"/>
    </row>
    <row r="63" spans="1:12" x14ac:dyDescent="0.25">
      <c r="A63" s="46"/>
      <c r="B63" s="914" t="s">
        <v>2254</v>
      </c>
      <c r="C63" s="46"/>
      <c r="D63" s="46"/>
      <c r="E63" s="46"/>
      <c r="F63" s="46"/>
      <c r="G63" s="46"/>
      <c r="H63" s="46"/>
      <c r="I63" s="46"/>
      <c r="J63" s="46"/>
      <c r="K63" s="46"/>
      <c r="L63" s="46"/>
    </row>
    <row r="64" spans="1:12" ht="14.25" customHeight="1" x14ac:dyDescent="0.25">
      <c r="A64" s="46"/>
      <c r="B64" s="915"/>
      <c r="C64" s="46"/>
      <c r="D64" s="46"/>
      <c r="E64" s="46"/>
      <c r="F64" s="46"/>
      <c r="G64" s="46"/>
      <c r="H64" s="46"/>
      <c r="I64" s="46"/>
      <c r="J64" s="46"/>
      <c r="K64" s="46"/>
      <c r="L64" s="46"/>
    </row>
    <row r="65" spans="1:16" ht="18" customHeight="1" x14ac:dyDescent="0.25">
      <c r="A65" s="46"/>
      <c r="B65" s="414" t="s">
        <v>1550</v>
      </c>
      <c r="C65" s="46"/>
      <c r="D65" s="46"/>
      <c r="E65" s="46"/>
      <c r="F65" s="46"/>
      <c r="G65" s="46"/>
      <c r="H65" s="46"/>
      <c r="I65" s="46"/>
      <c r="J65" s="46"/>
      <c r="K65" s="46"/>
      <c r="L65" s="46"/>
    </row>
    <row r="66" spans="1:16" ht="9" customHeight="1" x14ac:dyDescent="0.25">
      <c r="A66" s="46"/>
      <c r="B66" s="414"/>
      <c r="C66" s="46"/>
      <c r="D66" s="46"/>
      <c r="E66" s="46"/>
      <c r="F66" s="46"/>
      <c r="G66" s="46"/>
      <c r="H66" s="46"/>
      <c r="I66" s="46"/>
      <c r="J66" s="46"/>
      <c r="K66" s="46"/>
      <c r="L66" s="46"/>
    </row>
    <row r="67" spans="1:16" ht="15" customHeight="1" x14ac:dyDescent="0.25">
      <c r="A67" s="46"/>
      <c r="B67" s="692" t="s">
        <v>1551</v>
      </c>
      <c r="C67" s="46"/>
      <c r="D67" s="46"/>
      <c r="E67" s="46"/>
      <c r="F67" s="46"/>
      <c r="G67" s="46"/>
      <c r="H67" s="46"/>
      <c r="I67" s="46"/>
      <c r="J67" s="46"/>
      <c r="K67" s="46"/>
      <c r="L67" s="46"/>
    </row>
    <row r="68" spans="1:16" ht="12.75" customHeight="1" x14ac:dyDescent="0.25">
      <c r="A68" s="46"/>
      <c r="B68" s="46"/>
      <c r="C68" s="46"/>
      <c r="D68" s="46"/>
      <c r="E68" s="46"/>
      <c r="F68" s="46"/>
      <c r="G68" s="46"/>
      <c r="H68" s="46"/>
      <c r="I68" s="46"/>
      <c r="J68" s="46"/>
      <c r="K68" s="46"/>
      <c r="L68" s="46"/>
    </row>
    <row r="69" spans="1:16" ht="18" customHeight="1" x14ac:dyDescent="0.25">
      <c r="A69" s="46"/>
      <c r="B69" s="1648" t="s">
        <v>1552</v>
      </c>
      <c r="C69" s="1649"/>
      <c r="D69" s="1649"/>
      <c r="E69" s="1649"/>
      <c r="F69" s="1650"/>
      <c r="G69" s="909" t="s">
        <v>53</v>
      </c>
      <c r="H69" s="46"/>
      <c r="I69" s="46"/>
      <c r="J69" s="46"/>
      <c r="K69" s="46"/>
      <c r="L69" s="46"/>
    </row>
    <row r="70" spans="1:16" ht="15" customHeight="1" x14ac:dyDescent="0.25">
      <c r="A70" s="46"/>
      <c r="B70" s="46"/>
      <c r="C70" s="46"/>
      <c r="D70" s="46"/>
      <c r="E70" s="46"/>
      <c r="F70" s="46"/>
      <c r="G70" s="46"/>
      <c r="H70" s="46"/>
      <c r="I70" s="46"/>
      <c r="J70" s="46"/>
      <c r="K70" s="46"/>
      <c r="L70" s="46"/>
    </row>
    <row r="71" spans="1:16" ht="15" customHeight="1" x14ac:dyDescent="0.25">
      <c r="A71" s="46"/>
      <c r="B71" s="882" t="s">
        <v>1553</v>
      </c>
      <c r="C71" s="916"/>
      <c r="D71" s="916"/>
      <c r="E71" s="916"/>
      <c r="F71" s="916"/>
      <c r="G71" s="46"/>
      <c r="H71" s="46"/>
      <c r="I71" s="46"/>
      <c r="J71" s="46"/>
      <c r="K71" s="46"/>
      <c r="L71" s="46"/>
      <c r="N71" s="1865" t="s">
        <v>117</v>
      </c>
      <c r="O71" s="1865"/>
      <c r="P71" s="1866" t="s">
        <v>1554</v>
      </c>
    </row>
    <row r="72" spans="1:16" ht="15" customHeight="1" x14ac:dyDescent="0.25">
      <c r="A72" s="46"/>
      <c r="B72" s="544" t="s">
        <v>2255</v>
      </c>
      <c r="C72" s="46"/>
      <c r="D72" s="46"/>
      <c r="E72" s="46"/>
      <c r="F72" s="46"/>
      <c r="G72" s="46"/>
      <c r="H72" s="46"/>
      <c r="I72" s="46"/>
      <c r="J72" s="46"/>
      <c r="K72" s="46"/>
      <c r="L72" s="46"/>
      <c r="N72" s="1865"/>
      <c r="O72" s="1865"/>
      <c r="P72" s="1867"/>
    </row>
    <row r="73" spans="1:16" ht="12" customHeight="1" x14ac:dyDescent="0.25">
      <c r="A73" s="46"/>
      <c r="B73" s="544"/>
      <c r="C73" s="46"/>
      <c r="D73" s="46"/>
      <c r="E73" s="46"/>
      <c r="F73" s="46"/>
      <c r="G73" s="46"/>
      <c r="H73" s="46"/>
      <c r="I73" s="46"/>
      <c r="J73" s="46"/>
      <c r="K73" s="46"/>
      <c r="L73" s="46"/>
      <c r="N73" s="1868" t="s">
        <v>1555</v>
      </c>
      <c r="O73" s="1868"/>
      <c r="P73" s="917">
        <v>3</v>
      </c>
    </row>
    <row r="74" spans="1:16" ht="25.5" x14ac:dyDescent="0.25">
      <c r="A74" s="46"/>
      <c r="B74" s="878" t="s">
        <v>1556</v>
      </c>
      <c r="C74" s="870" t="s">
        <v>117</v>
      </c>
      <c r="D74" s="873" t="s">
        <v>8</v>
      </c>
      <c r="E74" s="873" t="s">
        <v>1557</v>
      </c>
      <c r="F74" s="873" t="s">
        <v>2256</v>
      </c>
      <c r="G74" s="875" t="s">
        <v>77</v>
      </c>
      <c r="H74" s="46"/>
      <c r="I74" s="46"/>
      <c r="J74" s="46"/>
      <c r="K74" s="46"/>
      <c r="L74" s="46"/>
      <c r="N74" s="1868" t="s">
        <v>1558</v>
      </c>
      <c r="O74" s="1868"/>
      <c r="P74" s="917">
        <v>3.5</v>
      </c>
    </row>
    <row r="75" spans="1:16" ht="16.5" customHeight="1" x14ac:dyDescent="0.25">
      <c r="A75" s="46"/>
      <c r="B75" s="880"/>
      <c r="C75" s="880" t="s">
        <v>53</v>
      </c>
      <c r="D75" s="880"/>
      <c r="E75" s="880"/>
      <c r="F75" s="918" t="str">
        <f>IFERROR(VLOOKUP(C75,N73:P78,3,FALSE),"")</f>
        <v/>
      </c>
      <c r="G75" s="918" t="str">
        <f>IF(F75="","",IF(E75&gt;=F75,"Yes","No"))</f>
        <v/>
      </c>
      <c r="H75" s="46"/>
      <c r="I75" s="46"/>
      <c r="J75" s="46"/>
      <c r="K75" s="46"/>
      <c r="L75" s="46"/>
      <c r="N75" s="1864" t="s">
        <v>1559</v>
      </c>
      <c r="O75" s="1864"/>
      <c r="P75" s="1864"/>
    </row>
    <row r="76" spans="1:16" ht="16.5" customHeight="1" x14ac:dyDescent="0.25">
      <c r="A76" s="46"/>
      <c r="B76" s="871"/>
      <c r="C76" s="880" t="s">
        <v>53</v>
      </c>
      <c r="D76" s="871"/>
      <c r="E76" s="871"/>
      <c r="F76" s="166" t="str">
        <f>IFERROR(VLOOKUP(C76,N73:P78,3,FALSE),"")</f>
        <v/>
      </c>
      <c r="G76" s="166" t="str">
        <f>IF(F76="","",IF(E76&gt;=F76,"Yes","No"))</f>
        <v/>
      </c>
      <c r="H76" s="46"/>
      <c r="I76" s="46"/>
      <c r="J76" s="46"/>
      <c r="K76" s="46"/>
      <c r="L76" s="46"/>
      <c r="N76" s="1868" t="s">
        <v>1560</v>
      </c>
      <c r="O76" s="1868"/>
      <c r="P76" s="917">
        <v>3</v>
      </c>
    </row>
    <row r="77" spans="1:16" ht="16.5" customHeight="1" x14ac:dyDescent="0.25">
      <c r="A77" s="46"/>
      <c r="B77" s="1221"/>
      <c r="C77" s="1222" t="s">
        <v>53</v>
      </c>
      <c r="D77" s="1221"/>
      <c r="E77" s="1221"/>
      <c r="F77" s="166" t="str">
        <f>IFERROR(VLOOKUP(C77,N74:P79,3,FALSE),"")</f>
        <v/>
      </c>
      <c r="G77" s="166" t="str">
        <f>IF(F77="","",IF(E77&gt;=F77,"Yes","No"))</f>
        <v/>
      </c>
      <c r="H77" s="46"/>
      <c r="I77" s="46"/>
      <c r="J77" s="46"/>
      <c r="K77" s="46"/>
      <c r="L77" s="46"/>
      <c r="N77" s="1868" t="s">
        <v>1560</v>
      </c>
      <c r="O77" s="1868"/>
      <c r="P77" s="917">
        <v>3</v>
      </c>
    </row>
    <row r="78" spans="1:16" x14ac:dyDescent="0.25">
      <c r="A78" s="46"/>
      <c r="B78" s="46"/>
      <c r="C78" s="46"/>
      <c r="D78" s="46"/>
      <c r="E78" s="46"/>
      <c r="F78" s="46"/>
      <c r="G78" s="46"/>
      <c r="H78" s="46"/>
      <c r="I78" s="46"/>
      <c r="J78" s="46"/>
      <c r="K78" s="46"/>
      <c r="L78" s="46"/>
      <c r="N78" s="1868" t="s">
        <v>1561</v>
      </c>
      <c r="O78" s="1868"/>
      <c r="P78" s="917">
        <v>3.5</v>
      </c>
    </row>
    <row r="79" spans="1:16" ht="19.5" customHeight="1" x14ac:dyDescent="0.25">
      <c r="A79" s="46"/>
      <c r="B79" s="1631" t="s">
        <v>1562</v>
      </c>
      <c r="C79" s="1632"/>
      <c r="D79" s="1633"/>
      <c r="E79" s="913" t="str">
        <f>IF(G69="Yes",IF(OR(G75="No",G76="No",G77="No"),"No",IF(OR(G75="Yes",G76="Yes",G77="Yes"),"Yes","")),"")</f>
        <v/>
      </c>
      <c r="F79" s="46"/>
      <c r="G79" s="46"/>
      <c r="H79" s="46"/>
      <c r="I79" s="46"/>
      <c r="J79" s="46"/>
      <c r="K79" s="46"/>
      <c r="L79" s="46"/>
    </row>
    <row r="80" spans="1:16" ht="19.5" customHeight="1" x14ac:dyDescent="0.25">
      <c r="A80" s="46"/>
      <c r="B80" s="46"/>
      <c r="C80" s="46"/>
      <c r="D80" s="46"/>
      <c r="E80" s="46"/>
      <c r="F80" s="46"/>
      <c r="G80" s="46"/>
      <c r="H80" s="46"/>
      <c r="I80" s="46"/>
      <c r="J80" s="46"/>
      <c r="K80" s="46"/>
      <c r="L80" s="46"/>
    </row>
    <row r="81" spans="1:13" ht="16.5" customHeight="1" x14ac:dyDescent="0.25">
      <c r="A81" s="1688" t="s">
        <v>84</v>
      </c>
      <c r="B81" s="1688"/>
      <c r="C81" s="1688"/>
      <c r="D81" s="46"/>
      <c r="E81" s="46"/>
      <c r="F81" s="46"/>
      <c r="G81" s="46"/>
      <c r="H81" s="46"/>
      <c r="I81" s="46"/>
      <c r="J81" s="46"/>
      <c r="K81" s="46"/>
      <c r="L81" s="46"/>
    </row>
    <row r="82" spans="1:13" ht="15" customHeight="1" x14ac:dyDescent="0.25">
      <c r="A82" s="45"/>
      <c r="B82" s="46"/>
      <c r="C82" s="46"/>
      <c r="D82" s="46"/>
      <c r="E82" s="46"/>
      <c r="F82" s="46"/>
      <c r="G82" s="46"/>
      <c r="H82" s="46"/>
      <c r="I82" s="46"/>
      <c r="J82" s="46"/>
      <c r="K82" s="46"/>
      <c r="L82" s="46"/>
    </row>
    <row r="83" spans="1:13" ht="18" customHeight="1" x14ac:dyDescent="0.25">
      <c r="A83" s="45"/>
      <c r="B83" s="1641" t="s">
        <v>1563</v>
      </c>
      <c r="C83" s="1642"/>
      <c r="D83" s="1642"/>
      <c r="E83" s="1642"/>
      <c r="F83" s="1642"/>
      <c r="G83" s="870" t="s">
        <v>907</v>
      </c>
      <c r="H83" s="1638" t="s">
        <v>908</v>
      </c>
      <c r="I83" s="1639"/>
      <c r="J83" s="45"/>
      <c r="K83" s="45"/>
      <c r="L83" s="45"/>
    </row>
    <row r="84" spans="1:13" ht="24" customHeight="1" x14ac:dyDescent="0.25">
      <c r="A84" s="45"/>
      <c r="B84" s="1648" t="str">
        <f>Submittals!F43</f>
        <v>• Evidence of the solar water heater installed such as photographs, invoices, receipts, etc.</v>
      </c>
      <c r="C84" s="1649"/>
      <c r="D84" s="1649"/>
      <c r="E84" s="1649"/>
      <c r="F84" s="1650"/>
      <c r="G84" s="1063" t="s">
        <v>53</v>
      </c>
      <c r="H84" s="1651"/>
      <c r="I84" s="1652"/>
      <c r="J84" s="45"/>
      <c r="K84" s="45"/>
      <c r="L84" s="45"/>
      <c r="M84" s="35" t="str">
        <f>IF(OR(B84="/",B84="No evidence required at this submission stage"),"Yes",IF(G84="Submitted","Yes","No"))</f>
        <v>No</v>
      </c>
    </row>
    <row r="85" spans="1:13" ht="18" customHeight="1" x14ac:dyDescent="0.25">
      <c r="A85" s="45"/>
      <c r="B85" s="915" t="s">
        <v>2254</v>
      </c>
      <c r="C85" s="45"/>
      <c r="D85" s="45"/>
      <c r="E85" s="45"/>
      <c r="F85" s="45"/>
      <c r="G85" s="45"/>
      <c r="H85" s="45"/>
      <c r="I85" s="45"/>
      <c r="J85" s="45"/>
      <c r="K85" s="45"/>
      <c r="L85" s="45"/>
    </row>
    <row r="86" spans="1:13" ht="18" customHeight="1" x14ac:dyDescent="0.25">
      <c r="A86" s="45"/>
      <c r="B86" s="1641" t="s">
        <v>1565</v>
      </c>
      <c r="C86" s="1642"/>
      <c r="D86" s="1642"/>
      <c r="E86" s="1642"/>
      <c r="F86" s="1642"/>
      <c r="G86" s="870" t="s">
        <v>907</v>
      </c>
      <c r="H86" s="1638" t="s">
        <v>908</v>
      </c>
      <c r="I86" s="1639"/>
      <c r="J86" s="45"/>
      <c r="K86" s="45"/>
      <c r="L86" s="45"/>
    </row>
    <row r="87" spans="1:13" ht="24" customHeight="1" x14ac:dyDescent="0.25">
      <c r="A87" s="45"/>
      <c r="B87" s="1648" t="str">
        <f>Submittals!F44</f>
        <v>• Technical data of the heat pump water heating systems installed showing the COP values</v>
      </c>
      <c r="C87" s="1649"/>
      <c r="D87" s="1649"/>
      <c r="E87" s="1649"/>
      <c r="F87" s="1650"/>
      <c r="G87" s="1063" t="s">
        <v>53</v>
      </c>
      <c r="H87" s="1651"/>
      <c r="I87" s="1652"/>
      <c r="J87" s="45"/>
      <c r="K87" s="45"/>
      <c r="L87" s="45"/>
      <c r="M87" s="35" t="str">
        <f t="shared" ref="M87:M88" si="1">IF(OR(B87="/",B87="No evidence required at this submission stage"),"Yes",IF(G87="Submitted","Yes","No"))</f>
        <v>No</v>
      </c>
    </row>
    <row r="88" spans="1:13" ht="24" customHeight="1" x14ac:dyDescent="0.25">
      <c r="A88" s="45"/>
      <c r="B88" s="1648" t="str">
        <f>Submittals!F45</f>
        <v>• Evidence of the heat pump water heating system installed such as photographs, invoices, receipts, etc.</v>
      </c>
      <c r="C88" s="1649"/>
      <c r="D88" s="1649"/>
      <c r="E88" s="1649"/>
      <c r="F88" s="1650"/>
      <c r="G88" s="1063" t="s">
        <v>53</v>
      </c>
      <c r="H88" s="1651"/>
      <c r="I88" s="1652"/>
      <c r="J88" s="45"/>
      <c r="K88" s="45"/>
      <c r="L88" s="45"/>
      <c r="M88" s="35" t="str">
        <f t="shared" si="1"/>
        <v>No</v>
      </c>
    </row>
    <row r="89" spans="1:13" ht="19.5" customHeight="1" x14ac:dyDescent="0.25">
      <c r="A89" s="45"/>
      <c r="B89" s="46"/>
      <c r="C89" s="46"/>
      <c r="D89" s="46"/>
      <c r="E89" s="45"/>
      <c r="F89" s="45"/>
      <c r="G89" s="45"/>
      <c r="H89" s="45"/>
      <c r="I89" s="45"/>
      <c r="J89" s="45"/>
      <c r="K89" s="45"/>
      <c r="L89" s="45"/>
    </row>
    <row r="90" spans="1:13" ht="16.5" customHeight="1" x14ac:dyDescent="0.25">
      <c r="A90" s="1688" t="s">
        <v>5</v>
      </c>
      <c r="B90" s="1688"/>
      <c r="C90" s="1688"/>
      <c r="D90" s="46"/>
      <c r="E90" s="46"/>
      <c r="F90" s="46"/>
      <c r="G90" s="46"/>
      <c r="H90" s="46"/>
      <c r="I90" s="46"/>
      <c r="J90" s="46"/>
      <c r="K90" s="46"/>
      <c r="L90" s="46"/>
    </row>
    <row r="91" spans="1:13" ht="15" customHeight="1" x14ac:dyDescent="0.25">
      <c r="A91" s="46"/>
      <c r="B91" s="46"/>
      <c r="C91" s="46"/>
      <c r="D91" s="46"/>
      <c r="E91" s="46"/>
      <c r="F91" s="46"/>
      <c r="G91" s="46"/>
      <c r="H91" s="46"/>
      <c r="I91" s="46"/>
      <c r="J91" s="46"/>
      <c r="K91" s="46"/>
      <c r="L91" s="46"/>
    </row>
    <row r="92" spans="1:13" ht="18" customHeight="1" x14ac:dyDescent="0.25">
      <c r="A92" s="46"/>
      <c r="B92" s="102" t="s">
        <v>16</v>
      </c>
      <c r="C92" s="8">
        <f>MIN(1,IF(E79="Yes",1,0)+IF(E61="Yes",1,0))</f>
        <v>0</v>
      </c>
      <c r="D92" s="46"/>
      <c r="E92" s="46"/>
      <c r="F92" s="46"/>
      <c r="G92" s="46"/>
      <c r="H92" s="46"/>
      <c r="I92" s="46"/>
      <c r="J92" s="46"/>
      <c r="K92" s="46"/>
      <c r="L92" s="46"/>
    </row>
    <row r="93" spans="1:13" ht="18" customHeight="1" x14ac:dyDescent="0.25">
      <c r="A93" s="46"/>
      <c r="B93" s="102" t="s">
        <v>133</v>
      </c>
      <c r="C93" s="8" t="str">
        <f>IF(AND(E79="Yes",COUNTIF(M87:M88,"Yes")=2),"Yes",IF(AND(M84="Yes",E61="Yes"),"Yes","No"))</f>
        <v>No</v>
      </c>
      <c r="D93" s="46"/>
      <c r="E93" s="46"/>
      <c r="F93" s="46"/>
      <c r="G93" s="46"/>
      <c r="H93" s="46"/>
      <c r="I93" s="46"/>
      <c r="J93" s="46"/>
      <c r="K93" s="46"/>
      <c r="L93" s="46"/>
    </row>
    <row r="94" spans="1:13" ht="15" customHeight="1" x14ac:dyDescent="0.25">
      <c r="A94" s="46"/>
      <c r="B94" s="46"/>
      <c r="C94" s="46"/>
      <c r="D94" s="46"/>
      <c r="E94" s="46"/>
      <c r="F94" s="45"/>
      <c r="G94" s="45"/>
      <c r="H94" s="45"/>
      <c r="I94" s="45"/>
      <c r="J94" s="45"/>
      <c r="K94" s="45"/>
      <c r="L94" s="45"/>
    </row>
    <row r="95" spans="1:13" ht="15" hidden="1" customHeight="1" x14ac:dyDescent="0.25"/>
    <row r="96" spans="1:13"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sheetProtection algorithmName="SHA-512" hashValue="qHqxHpWxuZ+6aAPLhk53jGt1TnfhgBQW2WtDRMJu/ghzDmVlzXARsBK8pdzuAX29QyxROC07Lm8r7DfZ85WTbA==" saltValue="+EUEenNm4+SlWpLExPO5vg==" spinCount="100000" sheet="1" objects="1" scenarios="1" formatRows="0"/>
  <mergeCells count="60">
    <mergeCell ref="B23:H23"/>
    <mergeCell ref="B88:F88"/>
    <mergeCell ref="H88:I88"/>
    <mergeCell ref="A90:C90"/>
    <mergeCell ref="B84:F84"/>
    <mergeCell ref="H84:I84"/>
    <mergeCell ref="B86:F86"/>
    <mergeCell ref="H86:I86"/>
    <mergeCell ref="B87:F87"/>
    <mergeCell ref="H87:I87"/>
    <mergeCell ref="B34:C34"/>
    <mergeCell ref="A36:C36"/>
    <mergeCell ref="B38:F38"/>
    <mergeCell ref="H38:I38"/>
    <mergeCell ref="B39:F39"/>
    <mergeCell ref="H39:I39"/>
    <mergeCell ref="N76:O76"/>
    <mergeCell ref="N78:O78"/>
    <mergeCell ref="B79:D79"/>
    <mergeCell ref="A81:C81"/>
    <mergeCell ref="B83:F83"/>
    <mergeCell ref="H83:I83"/>
    <mergeCell ref="N77:O77"/>
    <mergeCell ref="N75:P75"/>
    <mergeCell ref="A41:C41"/>
    <mergeCell ref="A46:L46"/>
    <mergeCell ref="A48:C48"/>
    <mergeCell ref="B58:E58"/>
    <mergeCell ref="B59:E59"/>
    <mergeCell ref="B61:D61"/>
    <mergeCell ref="B69:F69"/>
    <mergeCell ref="N71:O72"/>
    <mergeCell ref="P71:P72"/>
    <mergeCell ref="N73:O73"/>
    <mergeCell ref="N74:O74"/>
    <mergeCell ref="C30:D30"/>
    <mergeCell ref="E30:G30"/>
    <mergeCell ref="C31:D31"/>
    <mergeCell ref="E31:G31"/>
    <mergeCell ref="C32:D32"/>
    <mergeCell ref="E32:G32"/>
    <mergeCell ref="B24:H24"/>
    <mergeCell ref="B25:H25"/>
    <mergeCell ref="B27:F27"/>
    <mergeCell ref="C29:D29"/>
    <mergeCell ref="E29:G29"/>
    <mergeCell ref="B22:H22"/>
    <mergeCell ref="A15:L15"/>
    <mergeCell ref="A17:C17"/>
    <mergeCell ref="B19:H19"/>
    <mergeCell ref="B21:H21"/>
    <mergeCell ref="B20:H20"/>
    <mergeCell ref="B11:E11"/>
    <mergeCell ref="B12:E12"/>
    <mergeCell ref="B13:E13"/>
    <mergeCell ref="A1:L1"/>
    <mergeCell ref="H2:J4"/>
    <mergeCell ref="A5:L6"/>
    <mergeCell ref="A8:L8"/>
    <mergeCell ref="B10:E10"/>
  </mergeCells>
  <conditionalFormatting sqref="F11:G12">
    <cfRule type="expression" dxfId="309" priority="22">
      <formula>OR(#REF!="No",#REF!="Không")</formula>
    </cfRule>
  </conditionalFormatting>
  <conditionalFormatting sqref="F11:H12">
    <cfRule type="expression" dxfId="308" priority="20">
      <formula>OR($D11="No",$D11="Không")</formula>
    </cfRule>
    <cfRule type="expression" dxfId="307" priority="21">
      <formula>OR(#REF!="No",#REF!="Không")</formula>
    </cfRule>
  </conditionalFormatting>
  <conditionalFormatting sqref="B13">
    <cfRule type="expression" dxfId="306" priority="19">
      <formula>#REF!="Option B"</formula>
    </cfRule>
  </conditionalFormatting>
  <conditionalFormatting sqref="B13">
    <cfRule type="expression" dxfId="305" priority="18">
      <formula>#REF!="No"</formula>
    </cfRule>
  </conditionalFormatting>
  <conditionalFormatting sqref="H11:H12">
    <cfRule type="expression" dxfId="304" priority="17">
      <formula>OR(#REF!="No",#REF!="Không")</formula>
    </cfRule>
  </conditionalFormatting>
  <conditionalFormatting sqref="B12">
    <cfRule type="expression" dxfId="303" priority="4">
      <formula>#REF!="Option B"</formula>
    </cfRule>
  </conditionalFormatting>
  <conditionalFormatting sqref="B12">
    <cfRule type="expression" dxfId="302" priority="3">
      <formula>#REF!="No"</formula>
    </cfRule>
  </conditionalFormatting>
  <conditionalFormatting sqref="B11">
    <cfRule type="expression" dxfId="301" priority="2">
      <formula>#REF!="Option B"</formula>
    </cfRule>
  </conditionalFormatting>
  <conditionalFormatting sqref="B11">
    <cfRule type="expression" dxfId="300" priority="1">
      <formula>#REF!="No"</formula>
    </cfRule>
  </conditionalFormatting>
  <dataValidations count="8">
    <dataValidation allowBlank="1" showInputMessage="1" showErrorMessage="1" prompt="As the conditions of air temperature and relative humidity are not indicated in the VBEEC, use COP values calculated at conditions which are the most representative of winter_x000a_conditions at the location of the project." sqref="E74:E77" xr:uid="{00000000-0002-0000-1300-000000000000}"/>
    <dataValidation type="list" allowBlank="1" showInputMessage="1" showErrorMessage="1" sqref="C75:C77" xr:uid="{00000000-0002-0000-1300-000001000000}">
      <formula1>"Select,Air-heated heat pumps, Water-heated heat pumps, Heat recovery AC - Hot water supply only, Heat recovery AC - AC and hot water supply"</formula1>
    </dataValidation>
    <dataValidation allowBlank="1" showInputMessage="1" showErrorMessage="1" prompt="Name of the equipment" sqref="B75:B77" xr:uid="{00000000-0002-0000-1300-000002000000}"/>
    <dataValidation type="list" allowBlank="1" showInputMessage="1" showErrorMessage="1" sqref="G69 F58" xr:uid="{00000000-0002-0000-1300-000003000000}">
      <formula1>"Select,Yes,No"</formula1>
    </dataValidation>
    <dataValidation allowBlank="1" showInputMessage="1" showErrorMessage="1" prompt="Provide details on the way the energy control solution is working." sqref="E29:G32" xr:uid="{00000000-0002-0000-1300-000004000000}"/>
    <dataValidation allowBlank="1" showInputMessage="1" showErrorMessage="1" prompt="Enter the spaces/locations where the energy control solutions have been installed." sqref="C29:D32" xr:uid="{00000000-0002-0000-1300-000005000000}"/>
    <dataValidation type="list" allowBlank="1" showInputMessage="1" showErrorMessage="1" sqref="G39 G87:G88 G84" xr:uid="{00000000-0002-0000-1300-000006000000}">
      <formula1>"Select,Submitted,Not submitted"</formula1>
    </dataValidation>
    <dataValidation type="list" allowBlank="1" showInputMessage="1" showErrorMessage="1" sqref="B30:B32" xr:uid="{00000000-0002-0000-1300-000007000000}">
      <formula1>"Select,Light occupancy sensor, Light dimmer,Daylight sensor,Automated shadings,Plug load control,Other"</formula1>
    </dataValidation>
  </dataValidations>
  <hyperlinks>
    <hyperlink ref="K2" location="'E-1 Space cooling'!B3" tooltip="E-1" display="E-1" xr:uid="{00000000-0004-0000-1300-000000000000}"/>
    <hyperlink ref="K3" location="'E-2 Artificial Lighting'!B3" tooltip="E-2" display="E-2" xr:uid="{00000000-0004-0000-1300-000001000000}"/>
    <hyperlink ref="L3" location="'E-4 Energy Monitor'!B3" tooltip="E-4" display="E-4" xr:uid="{00000000-0004-0000-1300-000002000000}"/>
    <hyperlink ref="K4" location="'E-3 Energy Efficient Appliances'!B3" tooltip="E-3" display="E-3" xr:uid="{00000000-0004-0000-1300-000003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0563C1"/>
  </sheetPr>
  <dimension ref="A1:Q35"/>
  <sheetViews>
    <sheetView showRowColHeaders="0" zoomScale="90" zoomScaleNormal="90" workbookViewId="0">
      <selection activeCell="E8" sqref="E8:F8"/>
    </sheetView>
  </sheetViews>
  <sheetFormatPr defaultColWidth="0" defaultRowHeight="0" customHeight="1" zeroHeight="1" x14ac:dyDescent="0.25"/>
  <cols>
    <col min="1" max="1" width="5.7109375" customWidth="1"/>
    <col min="2" max="2" width="31.7109375" customWidth="1"/>
    <col min="3" max="3" width="3.5703125" customWidth="1"/>
    <col min="4" max="4" width="11.140625" customWidth="1"/>
    <col min="5" max="5" width="20.5703125" customWidth="1"/>
    <col min="6" max="6" width="21.5703125" customWidth="1"/>
    <col min="7" max="8" width="19.7109375" customWidth="1"/>
    <col min="9" max="10" width="8" customWidth="1"/>
    <col min="11" max="12" width="4.7109375" customWidth="1"/>
    <col min="13" max="17" width="0" hidden="1" customWidth="1"/>
    <col min="18" max="16384" width="9.140625" hidden="1"/>
  </cols>
  <sheetData>
    <row r="1" spans="1:12" ht="17.25" customHeight="1" x14ac:dyDescent="0.25">
      <c r="A1" s="200"/>
      <c r="B1" s="1870" t="s">
        <v>13</v>
      </c>
      <c r="C1" s="201"/>
      <c r="D1" s="178"/>
      <c r="E1" s="182"/>
      <c r="F1" s="182"/>
      <c r="G1" s="182"/>
      <c r="H1" s="179"/>
      <c r="I1" s="179"/>
      <c r="J1" s="179"/>
      <c r="K1" s="179"/>
      <c r="L1" s="180"/>
    </row>
    <row r="2" spans="1:12" ht="17.25" customHeight="1" x14ac:dyDescent="0.25">
      <c r="A2" s="202"/>
      <c r="B2" s="1871"/>
      <c r="C2" s="203"/>
      <c r="D2" s="181"/>
      <c r="E2" s="182"/>
      <c r="F2" s="182"/>
      <c r="G2" s="182"/>
      <c r="H2" s="182"/>
      <c r="I2" s="182"/>
      <c r="J2" s="182"/>
      <c r="K2" s="182"/>
      <c r="L2" s="183"/>
    </row>
    <row r="3" spans="1:12" ht="17.25" customHeight="1" x14ac:dyDescent="0.25">
      <c r="A3" s="202"/>
      <c r="B3" s="1871"/>
      <c r="C3" s="203"/>
      <c r="D3" s="181"/>
      <c r="E3" s="182"/>
      <c r="F3" s="182"/>
      <c r="G3" s="182"/>
      <c r="H3" s="182"/>
      <c r="I3" s="182"/>
      <c r="J3" s="182"/>
      <c r="K3" s="182"/>
      <c r="L3" s="183"/>
    </row>
    <row r="4" spans="1:12" ht="17.25" customHeight="1" x14ac:dyDescent="0.25">
      <c r="A4" s="202"/>
      <c r="B4" s="1871"/>
      <c r="C4" s="203"/>
      <c r="D4" s="181"/>
      <c r="E4" s="182"/>
      <c r="F4" s="182"/>
      <c r="G4" s="182"/>
      <c r="H4" s="182"/>
      <c r="I4" s="182"/>
      <c r="J4" s="182"/>
      <c r="K4" s="182"/>
      <c r="L4" s="183"/>
    </row>
    <row r="5" spans="1:12" ht="18" customHeight="1" x14ac:dyDescent="0.25">
      <c r="A5" s="202"/>
      <c r="B5" s="1872" t="s">
        <v>1329</v>
      </c>
      <c r="C5" s="204"/>
      <c r="D5" s="181"/>
      <c r="E5" s="182"/>
      <c r="F5" s="182"/>
      <c r="G5" s="182"/>
      <c r="H5" s="182"/>
      <c r="I5" s="182"/>
      <c r="J5" s="182"/>
      <c r="K5" s="182"/>
      <c r="L5" s="183"/>
    </row>
    <row r="6" spans="1:12" ht="15" customHeight="1" x14ac:dyDescent="0.25">
      <c r="A6" s="202"/>
      <c r="B6" s="1872"/>
      <c r="C6" s="204"/>
      <c r="D6" s="181"/>
      <c r="E6" s="1875" t="s">
        <v>118</v>
      </c>
      <c r="F6" s="1876"/>
      <c r="G6" s="1869" t="s">
        <v>119</v>
      </c>
      <c r="H6" s="1869" t="s">
        <v>16</v>
      </c>
      <c r="I6" s="182"/>
      <c r="J6" s="182"/>
      <c r="K6" s="182"/>
      <c r="L6" s="183"/>
    </row>
    <row r="7" spans="1:12" ht="15" customHeight="1" x14ac:dyDescent="0.25">
      <c r="A7" s="202"/>
      <c r="B7" s="1872"/>
      <c r="C7" s="204"/>
      <c r="D7" s="181"/>
      <c r="E7" s="1877"/>
      <c r="F7" s="1878"/>
      <c r="G7" s="1869"/>
      <c r="H7" s="1869"/>
      <c r="I7" s="182"/>
      <c r="J7" s="182"/>
      <c r="K7" s="182"/>
      <c r="L7" s="183"/>
    </row>
    <row r="8" spans="1:12" ht="24.75" customHeight="1" x14ac:dyDescent="0.25">
      <c r="A8" s="205"/>
      <c r="B8" s="1872"/>
      <c r="C8" s="204"/>
      <c r="D8" s="181"/>
      <c r="E8" s="1879" t="s">
        <v>14</v>
      </c>
      <c r="F8" s="1879"/>
      <c r="G8" s="96">
        <v>5</v>
      </c>
      <c r="H8" s="96">
        <f>'W-1 Water Efficient Fixtures'!L32</f>
        <v>0</v>
      </c>
      <c r="I8" s="182"/>
      <c r="J8" s="182"/>
      <c r="K8" s="182"/>
      <c r="L8" s="183"/>
    </row>
    <row r="9" spans="1:12" ht="24.75" customHeight="1" x14ac:dyDescent="0.25">
      <c r="A9" s="205"/>
      <c r="B9" s="1872"/>
      <c r="C9" s="204"/>
      <c r="D9" s="181"/>
      <c r="E9" s="1879" t="s">
        <v>272</v>
      </c>
      <c r="F9" s="1879"/>
      <c r="G9" s="96">
        <v>1</v>
      </c>
      <c r="H9" s="96">
        <f>'W-2 Drinking Water '!G12</f>
        <v>0</v>
      </c>
      <c r="I9" s="182"/>
      <c r="J9" s="182"/>
      <c r="K9" s="182"/>
      <c r="L9" s="183"/>
    </row>
    <row r="10" spans="1:12" ht="24" customHeight="1" x14ac:dyDescent="0.25">
      <c r="A10" s="205"/>
      <c r="B10" s="1872"/>
      <c r="C10" s="204"/>
      <c r="D10" s="181"/>
      <c r="E10" s="75" t="s">
        <v>25</v>
      </c>
      <c r="F10" s="73"/>
      <c r="G10" s="74">
        <f>SUM(G8:G9)</f>
        <v>6</v>
      </c>
      <c r="H10" s="74">
        <f>SUM(H8:H9)</f>
        <v>0</v>
      </c>
      <c r="I10" s="182"/>
      <c r="J10" s="182"/>
      <c r="K10" s="182"/>
      <c r="L10" s="183"/>
    </row>
    <row r="11" spans="1:12" ht="15.75" x14ac:dyDescent="0.25">
      <c r="A11" s="205"/>
      <c r="B11" s="206"/>
      <c r="C11" s="207"/>
      <c r="D11" s="181"/>
      <c r="E11" s="182"/>
      <c r="F11" s="182"/>
      <c r="G11" s="182"/>
      <c r="H11" s="182"/>
      <c r="I11" s="182"/>
      <c r="J11" s="182"/>
      <c r="K11" s="182"/>
      <c r="L11" s="183"/>
    </row>
    <row r="12" spans="1:12" ht="15.75" x14ac:dyDescent="0.25">
      <c r="A12" s="205"/>
      <c r="B12" s="206"/>
      <c r="C12" s="206"/>
      <c r="D12" s="182"/>
      <c r="E12" s="182"/>
      <c r="F12" s="182"/>
      <c r="G12" s="182"/>
      <c r="H12" s="182"/>
      <c r="I12" s="182"/>
      <c r="J12" s="182"/>
      <c r="K12" s="182"/>
      <c r="L12" s="183"/>
    </row>
    <row r="13" spans="1:12" ht="15" customHeight="1" x14ac:dyDescent="0.25">
      <c r="A13" s="205"/>
      <c r="B13" s="206"/>
      <c r="C13" s="206"/>
      <c r="D13" s="182"/>
      <c r="E13" s="182"/>
      <c r="F13" s="182"/>
      <c r="G13" s="182"/>
      <c r="H13" s="182"/>
      <c r="I13" s="182"/>
      <c r="J13" s="182"/>
      <c r="K13" s="182"/>
      <c r="L13" s="183"/>
    </row>
    <row r="14" spans="1:12" ht="15" customHeight="1" x14ac:dyDescent="0.25">
      <c r="A14" s="1873"/>
      <c r="B14" s="1874"/>
      <c r="C14" s="1223"/>
      <c r="D14" s="182"/>
      <c r="E14" s="182"/>
      <c r="F14" s="182"/>
      <c r="G14" s="182"/>
      <c r="H14" s="182"/>
      <c r="I14" s="182"/>
      <c r="J14" s="185"/>
      <c r="K14" s="185"/>
      <c r="L14" s="186"/>
    </row>
    <row r="15" spans="1:12" ht="15" hidden="1" customHeight="1" x14ac:dyDescent="0.25">
      <c r="E15" s="185"/>
      <c r="F15" s="185"/>
      <c r="G15" s="185"/>
      <c r="H15" s="185"/>
    </row>
    <row r="16" spans="1:12"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0" hidden="1" customHeight="1" x14ac:dyDescent="0.25"/>
    <row r="27" ht="0" hidden="1" customHeight="1" x14ac:dyDescent="0.25"/>
    <row r="28" ht="0" hidden="1" customHeight="1" x14ac:dyDescent="0.25"/>
    <row r="29" ht="0" hidden="1" customHeight="1" x14ac:dyDescent="0.25"/>
    <row r="30" ht="0" hidden="1" customHeight="1" x14ac:dyDescent="0.25"/>
    <row r="31" ht="0" hidden="1" customHeight="1" x14ac:dyDescent="0.25"/>
    <row r="32" ht="0" hidden="1" customHeight="1" x14ac:dyDescent="0.25"/>
    <row r="33" ht="0" hidden="1" customHeight="1" x14ac:dyDescent="0.25"/>
    <row r="34" ht="0" hidden="1" customHeight="1" x14ac:dyDescent="0.25"/>
    <row r="35" ht="0" hidden="1" customHeight="1" x14ac:dyDescent="0.25"/>
  </sheetData>
  <sheetProtection algorithmName="SHA-512" hashValue="Bs1KynW3AwkWG6jESmOAmWdZ6VJTs8RZ5eghzFP0MBCTaPctXtXiKVGt+CZ5W5SP3uBr/kwPbVSDvUy+n0qvSA==" saltValue="RpMHKGFTPUVBU3KpPjOV1g==" spinCount="100000" sheet="1" objects="1" scenarios="1" formatRows="0"/>
  <mergeCells count="8">
    <mergeCell ref="H6:H7"/>
    <mergeCell ref="B1:B4"/>
    <mergeCell ref="B5:B10"/>
    <mergeCell ref="A14:B14"/>
    <mergeCell ref="E6:F7"/>
    <mergeCell ref="E8:F8"/>
    <mergeCell ref="E9:F9"/>
    <mergeCell ref="G6:G7"/>
  </mergeCells>
  <hyperlinks>
    <hyperlink ref="E9:F9" location="'W-2 Drinking Water '!D3" tooltip="W-2 Drinking Water" display="W-2 Drinking Water" xr:uid="{00000000-0004-0000-1400-000000000000}"/>
    <hyperlink ref="E8:F8" location="'W-1 Water Efficient Fixtures'!B3" tooltip="W-PR-1 Water Efficient Fixtures" display="W-1 Water Efficient Fixtures" xr:uid="{00000000-0004-0000-1400-000001000000}"/>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0563C1"/>
  </sheetPr>
  <dimension ref="A1:S565"/>
  <sheetViews>
    <sheetView showRowColHeaders="0" workbookViewId="0">
      <pane ySplit="8" topLeftCell="A14" activePane="bottomLeft" state="frozen"/>
      <selection pane="bottomLeft" activeCell="E8" sqref="E8"/>
    </sheetView>
  </sheetViews>
  <sheetFormatPr defaultColWidth="0" defaultRowHeight="15" zeroHeight="1" x14ac:dyDescent="0.25"/>
  <cols>
    <col min="1" max="1" width="5" style="35" customWidth="1"/>
    <col min="2" max="2" width="21" style="35" customWidth="1"/>
    <col min="3" max="3" width="20.28515625" style="35" customWidth="1"/>
    <col min="4" max="5" width="16.7109375" style="35" customWidth="1"/>
    <col min="6" max="6" width="19.42578125" style="35" customWidth="1"/>
    <col min="7" max="7" width="21.28515625" style="35" customWidth="1"/>
    <col min="8" max="8" width="20.85546875" style="35" customWidth="1"/>
    <col min="9" max="9" width="20.42578125" style="35" customWidth="1"/>
    <col min="10" max="10" width="15.7109375" style="35" customWidth="1"/>
    <col min="11" max="11" width="9" style="35" customWidth="1"/>
    <col min="12" max="12" width="10.5703125" style="35" hidden="1" customWidth="1"/>
    <col min="13" max="13" width="38.85546875" style="35" hidden="1" customWidth="1"/>
    <col min="14" max="14" width="14.85546875" style="35" hidden="1" customWidth="1"/>
    <col min="15" max="19" width="13.85546875" style="35" hidden="1" customWidth="1"/>
    <col min="20" max="16384" width="9.140625" style="35" hidden="1"/>
  </cols>
  <sheetData>
    <row r="1" spans="1:11" ht="25.5" customHeight="1" x14ac:dyDescent="0.25">
      <c r="A1" s="1895" t="s">
        <v>14</v>
      </c>
      <c r="B1" s="1895"/>
      <c r="C1" s="1895"/>
      <c r="D1" s="1895"/>
      <c r="E1" s="1895"/>
      <c r="F1" s="1895"/>
      <c r="G1" s="1895"/>
      <c r="H1" s="1895"/>
      <c r="I1" s="1895"/>
      <c r="J1" s="1895"/>
      <c r="K1" s="1895"/>
    </row>
    <row r="2" spans="1:11" ht="15" customHeight="1" x14ac:dyDescent="0.25">
      <c r="A2" s="46"/>
      <c r="B2" s="46"/>
      <c r="C2" s="46"/>
      <c r="D2" s="46"/>
      <c r="E2" s="46"/>
      <c r="F2" s="46"/>
      <c r="G2" s="45"/>
      <c r="H2" s="1753" t="s">
        <v>1305</v>
      </c>
      <c r="I2" s="1753"/>
      <c r="J2" s="1753"/>
      <c r="K2" s="123"/>
    </row>
    <row r="3" spans="1:11" ht="15" customHeight="1" x14ac:dyDescent="0.25">
      <c r="A3" s="46"/>
      <c r="B3" s="46"/>
      <c r="C3" s="46"/>
      <c r="D3" s="46"/>
      <c r="E3" s="46"/>
      <c r="F3" s="46"/>
      <c r="G3" s="45"/>
      <c r="H3" s="1753"/>
      <c r="I3" s="1753"/>
      <c r="J3" s="1753"/>
      <c r="K3" s="123" t="s">
        <v>32</v>
      </c>
    </row>
    <row r="4" spans="1:11" ht="15" customHeight="1" x14ac:dyDescent="0.25">
      <c r="A4" s="46"/>
      <c r="B4" s="46"/>
      <c r="C4" s="46"/>
      <c r="D4" s="46"/>
      <c r="E4" s="46"/>
      <c r="F4" s="46"/>
      <c r="G4" s="45"/>
      <c r="H4" s="1754"/>
      <c r="I4" s="1754"/>
      <c r="J4" s="1754"/>
      <c r="K4" s="123"/>
    </row>
    <row r="5" spans="1:11" ht="25.5" customHeight="1" x14ac:dyDescent="0.25">
      <c r="A5" s="1656" t="s">
        <v>2627</v>
      </c>
      <c r="B5" s="1657"/>
      <c r="C5" s="1657"/>
      <c r="D5" s="1657"/>
      <c r="E5" s="1657"/>
      <c r="F5" s="1657"/>
      <c r="G5" s="1657"/>
      <c r="H5" s="1657"/>
      <c r="I5" s="1657"/>
      <c r="J5" s="1657"/>
      <c r="K5" s="1658"/>
    </row>
    <row r="6" spans="1:11" ht="25.5" customHeight="1" x14ac:dyDescent="0.25">
      <c r="A6" s="1659"/>
      <c r="B6" s="1660"/>
      <c r="C6" s="1660"/>
      <c r="D6" s="1660"/>
      <c r="E6" s="1660"/>
      <c r="F6" s="1660"/>
      <c r="G6" s="1660"/>
      <c r="H6" s="1660"/>
      <c r="I6" s="1660"/>
      <c r="J6" s="1660"/>
      <c r="K6" s="1661"/>
    </row>
    <row r="7" spans="1:11" ht="25.5" customHeight="1" x14ac:dyDescent="0.25">
      <c r="A7" s="1662"/>
      <c r="B7" s="1663"/>
      <c r="C7" s="1663"/>
      <c r="D7" s="1663"/>
      <c r="E7" s="1663"/>
      <c r="F7" s="1663"/>
      <c r="G7" s="1663"/>
      <c r="H7" s="1663"/>
      <c r="I7" s="1663"/>
      <c r="J7" s="1663"/>
      <c r="K7" s="1664"/>
    </row>
    <row r="8" spans="1:11" ht="12" customHeight="1" x14ac:dyDescent="0.25">
      <c r="A8" s="45"/>
      <c r="B8" s="46"/>
      <c r="C8" s="46"/>
      <c r="D8" s="46"/>
      <c r="E8" s="46"/>
      <c r="F8" s="45"/>
      <c r="G8" s="45"/>
      <c r="H8" s="45"/>
      <c r="I8" s="45"/>
      <c r="J8" s="45"/>
      <c r="K8" s="45"/>
    </row>
    <row r="9" spans="1:11" ht="18" customHeight="1" x14ac:dyDescent="0.25">
      <c r="A9" s="1909" t="s">
        <v>116</v>
      </c>
      <c r="B9" s="1909"/>
      <c r="C9" s="1909"/>
      <c r="D9" s="1909"/>
      <c r="E9" s="1909"/>
      <c r="F9" s="1909"/>
      <c r="G9" s="1909"/>
      <c r="H9" s="1909"/>
      <c r="I9" s="1909"/>
      <c r="J9" s="1909"/>
      <c r="K9" s="1909"/>
    </row>
    <row r="10" spans="1:11" x14ac:dyDescent="0.25">
      <c r="A10" s="45"/>
      <c r="B10" s="45"/>
      <c r="C10" s="45"/>
      <c r="D10" s="45"/>
      <c r="E10" s="45"/>
      <c r="F10" s="45"/>
      <c r="G10" s="45"/>
      <c r="H10" s="45"/>
      <c r="I10" s="45"/>
      <c r="J10" s="45"/>
      <c r="K10" s="45"/>
    </row>
    <row r="11" spans="1:11" ht="7.5" hidden="1" customHeight="1" x14ac:dyDescent="0.25">
      <c r="A11" s="45"/>
      <c r="B11" s="45"/>
      <c r="C11" s="45"/>
      <c r="D11" s="45"/>
      <c r="E11" s="45"/>
      <c r="F11" s="45"/>
      <c r="G11" s="45"/>
      <c r="H11" s="45"/>
      <c r="I11" s="45"/>
      <c r="J11" s="45"/>
      <c r="K11" s="45"/>
    </row>
    <row r="12" spans="1:11" ht="7.5" hidden="1" customHeight="1" x14ac:dyDescent="0.25">
      <c r="A12" s="45"/>
      <c r="B12" s="45"/>
      <c r="C12" s="45"/>
      <c r="D12" s="45"/>
      <c r="E12" s="45"/>
      <c r="F12" s="45"/>
      <c r="G12" s="45"/>
      <c r="H12" s="45"/>
      <c r="I12" s="45"/>
      <c r="J12" s="45"/>
      <c r="K12" s="45"/>
    </row>
    <row r="13" spans="1:11" ht="17.25" customHeight="1" x14ac:dyDescent="0.25">
      <c r="A13" s="45"/>
      <c r="B13" s="1933" t="str">
        <f>IF('Project information'!C7="Certification stage","Are water closets and bathroom taps installed by the project within the tenant spaces ?","Will the project install water closets and bathroom taps within the tenant spaces ?")</f>
        <v>Are water closets and bathroom taps installed by the project within the tenant spaces ?</v>
      </c>
      <c r="C13" s="1934"/>
      <c r="D13" s="1934"/>
      <c r="E13" s="1935"/>
      <c r="F13" s="552" t="s">
        <v>1895</v>
      </c>
      <c r="G13" s="630" t="str">
        <f>IF(F13="No","→ Option B should be followed",IF(F13="Yes","→ Option A should be followed",""))</f>
        <v>→ Option A should be followed</v>
      </c>
      <c r="H13" s="45"/>
      <c r="I13" s="45"/>
      <c r="J13" s="45"/>
      <c r="K13" s="45"/>
    </row>
    <row r="14" spans="1:11" x14ac:dyDescent="0.25">
      <c r="A14" s="45"/>
      <c r="B14" s="45"/>
      <c r="C14" s="45"/>
      <c r="D14" s="45"/>
      <c r="E14" s="45"/>
      <c r="F14" s="45"/>
      <c r="G14" s="45"/>
      <c r="H14" s="45"/>
      <c r="I14" s="45"/>
      <c r="J14" s="45"/>
      <c r="K14" s="45"/>
    </row>
    <row r="15" spans="1:11" ht="18" customHeight="1" x14ac:dyDescent="0.25">
      <c r="A15" s="45"/>
      <c r="B15" s="1936" t="s">
        <v>1515</v>
      </c>
      <c r="C15" s="1937"/>
      <c r="D15" s="1937"/>
      <c r="E15" s="1937"/>
      <c r="F15" s="1937"/>
      <c r="G15" s="377" t="s">
        <v>64</v>
      </c>
      <c r="H15" s="377" t="s">
        <v>16</v>
      </c>
      <c r="I15" s="56" t="s">
        <v>133</v>
      </c>
      <c r="J15" s="45"/>
      <c r="K15" s="45"/>
    </row>
    <row r="16" spans="1:11" ht="18" customHeight="1" x14ac:dyDescent="0.25">
      <c r="A16" s="45"/>
      <c r="B16" s="1677" t="s">
        <v>971</v>
      </c>
      <c r="C16" s="1678"/>
      <c r="D16" s="1678"/>
      <c r="E16" s="1678"/>
      <c r="F16" s="1678"/>
      <c r="G16" s="1678"/>
      <c r="H16" s="1678"/>
      <c r="I16" s="1679"/>
      <c r="J16" s="45"/>
      <c r="K16" s="45"/>
    </row>
    <row r="17" spans="1:12" ht="54" customHeight="1" x14ac:dyDescent="0.25">
      <c r="A17" s="45"/>
      <c r="B17" s="1832" t="s">
        <v>1605</v>
      </c>
      <c r="C17" s="1833"/>
      <c r="D17" s="1833"/>
      <c r="E17" s="1833"/>
      <c r="F17" s="1834"/>
      <c r="G17" s="61">
        <v>5</v>
      </c>
      <c r="H17" s="49">
        <f>IF(F13="Yes",IF(D40="Prescriptive Path",C100,"/"),"/")</f>
        <v>0</v>
      </c>
      <c r="I17" s="49" t="str">
        <f>IF(F13="Yes",IF(D40="Prescriptive Path",C101,"/"),"/")</f>
        <v>No</v>
      </c>
      <c r="J17" s="45"/>
      <c r="K17" s="45"/>
      <c r="L17" s="35" t="str">
        <f>IF(H17="/","No",IF(H17&lt;&gt;0,IF(I17="No","No","Yes"),"Yes"))</f>
        <v>Yes</v>
      </c>
    </row>
    <row r="18" spans="1:12" ht="41.25" customHeight="1" x14ac:dyDescent="0.25">
      <c r="A18" s="45"/>
      <c r="B18" s="1832" t="s">
        <v>1587</v>
      </c>
      <c r="C18" s="1833"/>
      <c r="D18" s="1833"/>
      <c r="E18" s="1833"/>
      <c r="F18" s="1834"/>
      <c r="G18" s="61">
        <v>5</v>
      </c>
      <c r="H18" s="281" t="str">
        <f>IF(F13="Yes",IF(D40="Performance Path",C162,"/"),"/")</f>
        <v>/</v>
      </c>
      <c r="I18" s="281" t="str">
        <f>IF(F14="Yes",IF(D40="Performance Path",C163,"/"),"/")</f>
        <v>/</v>
      </c>
      <c r="J18" s="45"/>
      <c r="K18" s="45"/>
      <c r="L18" s="35" t="str">
        <f>IF(H18="/","No",IF(H18&lt;&gt;0,IF(I18="No","No","Yes"),"Yes"))</f>
        <v>No</v>
      </c>
    </row>
    <row r="19" spans="1:12" ht="18" customHeight="1" x14ac:dyDescent="0.25">
      <c r="A19" s="45"/>
      <c r="B19" s="1677" t="s">
        <v>972</v>
      </c>
      <c r="C19" s="1678"/>
      <c r="D19" s="1678"/>
      <c r="E19" s="1678"/>
      <c r="F19" s="1678"/>
      <c r="G19" s="1678"/>
      <c r="H19" s="1678"/>
      <c r="I19" s="1679"/>
      <c r="J19" s="45"/>
      <c r="K19" s="45"/>
    </row>
    <row r="20" spans="1:12" ht="23.25" customHeight="1" x14ac:dyDescent="0.25">
      <c r="A20" s="45"/>
      <c r="B20" s="1832" t="s">
        <v>1588</v>
      </c>
      <c r="C20" s="1833"/>
      <c r="D20" s="1833"/>
      <c r="E20" s="1833"/>
      <c r="F20" s="1834"/>
      <c r="G20" s="61">
        <v>1</v>
      </c>
      <c r="H20" s="281">
        <f>IF(F13="Yes",C196,"/")</f>
        <v>0</v>
      </c>
      <c r="I20" s="281" t="str">
        <f>IF(F13="Yes",C197,"/")</f>
        <v>No</v>
      </c>
      <c r="J20" s="45"/>
      <c r="K20" s="45"/>
      <c r="L20" s="35" t="str">
        <f t="shared" ref="L20:L22" si="0">IF(H20="/","No",IF(H20&lt;&gt;0,IF(I20="No","No","Yes"),"Yes"))</f>
        <v>Yes</v>
      </c>
    </row>
    <row r="21" spans="1:12" ht="18" customHeight="1" x14ac:dyDescent="0.25">
      <c r="A21" s="45"/>
      <c r="B21" s="1677" t="s">
        <v>973</v>
      </c>
      <c r="C21" s="1678"/>
      <c r="D21" s="1678"/>
      <c r="E21" s="1678"/>
      <c r="F21" s="1678"/>
      <c r="G21" s="1678"/>
      <c r="H21" s="1678"/>
      <c r="I21" s="1679"/>
      <c r="J21" s="45"/>
      <c r="K21" s="45"/>
    </row>
    <row r="22" spans="1:12" ht="23.25" customHeight="1" x14ac:dyDescent="0.25">
      <c r="A22" s="45"/>
      <c r="B22" s="1832" t="s">
        <v>1589</v>
      </c>
      <c r="C22" s="1833"/>
      <c r="D22" s="1833"/>
      <c r="E22" s="1833"/>
      <c r="F22" s="1834"/>
      <c r="G22" s="61">
        <v>1</v>
      </c>
      <c r="H22" s="281">
        <f>IF(F13="Yes",C249,"/")</f>
        <v>0</v>
      </c>
      <c r="I22" s="281" t="str">
        <f>IF(F13="Yes",C250,"/")</f>
        <v>No</v>
      </c>
      <c r="J22" s="45"/>
      <c r="K22" s="45"/>
      <c r="L22" s="35" t="str">
        <f t="shared" si="0"/>
        <v>Yes</v>
      </c>
    </row>
    <row r="23" spans="1:12" ht="19.5" customHeight="1" x14ac:dyDescent="0.25">
      <c r="A23" s="45"/>
      <c r="B23" s="1810" t="s">
        <v>25</v>
      </c>
      <c r="C23" s="1811"/>
      <c r="D23" s="1811"/>
      <c r="E23" s="1811"/>
      <c r="F23" s="1812"/>
      <c r="G23" s="498">
        <v>5</v>
      </c>
      <c r="H23" s="498">
        <f>IFERROR(MIN(5,IF(D40="Performance Path",H18,H17)+H20+H22),0)</f>
        <v>0</v>
      </c>
      <c r="I23" s="498" t="str">
        <f>IF(COUNTIF(I17:I22,"No")=3,"No",IF(COUNTIF(L17:L22,"Yes")=3,"Yes","No"))</f>
        <v>No</v>
      </c>
      <c r="J23" s="45"/>
      <c r="K23" s="45"/>
    </row>
    <row r="24" spans="1:12" ht="18" customHeight="1" x14ac:dyDescent="0.25">
      <c r="A24" s="45"/>
      <c r="B24" s="45"/>
      <c r="C24" s="45"/>
      <c r="D24" s="45"/>
      <c r="E24" s="45"/>
      <c r="F24" s="45"/>
      <c r="G24" s="45"/>
      <c r="H24" s="630" t="str">
        <f>IFERROR(IF(IF(D40="Performance Path",H18,H17)+H20+H22&gt;5,"→ One EP-1 point can be targeted",""),"")</f>
        <v/>
      </c>
      <c r="I24" s="45"/>
      <c r="J24" s="45"/>
      <c r="K24" s="45"/>
    </row>
    <row r="25" spans="1:12" ht="18" customHeight="1" x14ac:dyDescent="0.25">
      <c r="A25" s="45"/>
      <c r="B25" s="1936" t="s">
        <v>1255</v>
      </c>
      <c r="C25" s="1937"/>
      <c r="D25" s="1937"/>
      <c r="E25" s="1937"/>
      <c r="F25" s="1937"/>
      <c r="G25" s="377" t="s">
        <v>64</v>
      </c>
      <c r="H25" s="377" t="s">
        <v>16</v>
      </c>
      <c r="I25" s="56" t="s">
        <v>133</v>
      </c>
      <c r="J25" s="45"/>
      <c r="K25" s="45"/>
    </row>
    <row r="26" spans="1:12" ht="18" customHeight="1" x14ac:dyDescent="0.25">
      <c r="A26" s="45"/>
      <c r="B26" s="1677" t="s">
        <v>1252</v>
      </c>
      <c r="C26" s="1678"/>
      <c r="D26" s="1678"/>
      <c r="E26" s="1678"/>
      <c r="F26" s="1678"/>
      <c r="G26" s="1678"/>
      <c r="H26" s="1678"/>
      <c r="I26" s="1679"/>
      <c r="J26" s="45"/>
      <c r="K26" s="45"/>
    </row>
    <row r="27" spans="1:12" ht="57" customHeight="1" x14ac:dyDescent="0.25">
      <c r="A27" s="45"/>
      <c r="B27" s="1832" t="s">
        <v>1612</v>
      </c>
      <c r="C27" s="1833"/>
      <c r="D27" s="1833"/>
      <c r="E27" s="1833"/>
      <c r="F27" s="1834"/>
      <c r="G27" s="61">
        <v>3</v>
      </c>
      <c r="H27" s="281" t="str">
        <f>IF(F13="No",C316,"/")</f>
        <v>/</v>
      </c>
      <c r="I27" s="281" t="str">
        <f>IF(F13="No",C317,"/")</f>
        <v>/</v>
      </c>
      <c r="J27" s="45"/>
      <c r="K27" s="45"/>
      <c r="L27" s="35" t="str">
        <f>IF(H27="/","No",IF(H27&lt;&gt;0,IF(I27="No","No","Yes"),"Yes"))</f>
        <v>No</v>
      </c>
    </row>
    <row r="28" spans="1:12" ht="18" customHeight="1" x14ac:dyDescent="0.25">
      <c r="A28" s="45"/>
      <c r="B28" s="1677" t="s">
        <v>974</v>
      </c>
      <c r="C28" s="1678"/>
      <c r="D28" s="1678"/>
      <c r="E28" s="1678"/>
      <c r="F28" s="1678"/>
      <c r="G28" s="1678"/>
      <c r="H28" s="1678"/>
      <c r="I28" s="1679"/>
      <c r="J28" s="45"/>
      <c r="K28" s="45"/>
    </row>
    <row r="29" spans="1:12" ht="24" customHeight="1" x14ac:dyDescent="0.25">
      <c r="A29" s="45"/>
      <c r="B29" s="1832" t="s">
        <v>1588</v>
      </c>
      <c r="C29" s="1833"/>
      <c r="D29" s="1833"/>
      <c r="E29" s="1833"/>
      <c r="F29" s="1834"/>
      <c r="G29" s="61">
        <v>1</v>
      </c>
      <c r="H29" s="281" t="str">
        <f>IF(F13="No",C350,"/")</f>
        <v>/</v>
      </c>
      <c r="I29" s="281" t="str">
        <f>IF(F13="No",C351,"/")</f>
        <v>/</v>
      </c>
      <c r="J29" s="45"/>
      <c r="K29" s="45"/>
      <c r="L29" s="35" t="str">
        <f t="shared" ref="L29:L31" si="1">IF(H29="/","No",IF(H29&lt;&gt;0,IF(I29="No","No","Yes"),"Yes"))</f>
        <v>No</v>
      </c>
    </row>
    <row r="30" spans="1:12" ht="18" customHeight="1" x14ac:dyDescent="0.25">
      <c r="A30" s="45"/>
      <c r="B30" s="1677" t="s">
        <v>1260</v>
      </c>
      <c r="C30" s="1678"/>
      <c r="D30" s="1678"/>
      <c r="E30" s="1678"/>
      <c r="F30" s="1678"/>
      <c r="G30" s="1678"/>
      <c r="H30" s="1678"/>
      <c r="I30" s="1679"/>
      <c r="J30" s="45"/>
      <c r="K30" s="45"/>
    </row>
    <row r="31" spans="1:12" ht="24" customHeight="1" x14ac:dyDescent="0.25">
      <c r="A31" s="45"/>
      <c r="B31" s="1832" t="s">
        <v>1589</v>
      </c>
      <c r="C31" s="1833"/>
      <c r="D31" s="1833"/>
      <c r="E31" s="1833"/>
      <c r="F31" s="1834"/>
      <c r="G31" s="61">
        <v>1</v>
      </c>
      <c r="H31" s="281" t="str">
        <f>IF(F13="No",C403,"/")</f>
        <v>/</v>
      </c>
      <c r="I31" s="281" t="str">
        <f>IF(F13="No",C404,"/")</f>
        <v>/</v>
      </c>
      <c r="J31" s="45"/>
      <c r="K31" s="45"/>
      <c r="L31" s="35" t="str">
        <f t="shared" si="1"/>
        <v>No</v>
      </c>
    </row>
    <row r="32" spans="1:12" ht="19.5" customHeight="1" x14ac:dyDescent="0.25">
      <c r="A32" s="45"/>
      <c r="B32" s="1810" t="s">
        <v>25</v>
      </c>
      <c r="C32" s="1811"/>
      <c r="D32" s="1811"/>
      <c r="E32" s="1811"/>
      <c r="F32" s="1812"/>
      <c r="G32" s="498">
        <v>5</v>
      </c>
      <c r="H32" s="498">
        <f>IFERROR(MIN(5,H27+H29+H31),0)</f>
        <v>0</v>
      </c>
      <c r="I32" s="498" t="str">
        <f>IF(COUNTIF(I27:I31,"No")=3,"No",IF(COUNTIF(L27:L31,"Yes")=3,"Yes","No"))</f>
        <v>No</v>
      </c>
      <c r="J32" s="45"/>
      <c r="K32" s="45"/>
      <c r="L32" s="35">
        <f>IF(F13="No",H32,IF(F13="Yes",H23,0))</f>
        <v>0</v>
      </c>
    </row>
    <row r="33" spans="1:14" ht="19.5" customHeight="1" x14ac:dyDescent="0.25">
      <c r="A33" s="45"/>
      <c r="B33" s="45"/>
      <c r="C33" s="45"/>
      <c r="D33" s="45"/>
      <c r="E33" s="45"/>
      <c r="F33" s="45"/>
      <c r="G33" s="45"/>
      <c r="H33" s="630" t="str">
        <f>IFERROR(IF(H27+H29+H31&gt;5,"→ One EP-1 point can be targeted",""),"")</f>
        <v/>
      </c>
      <c r="I33" s="45"/>
      <c r="J33" s="45"/>
      <c r="K33" s="45"/>
    </row>
    <row r="34" spans="1:14" ht="18" customHeight="1" x14ac:dyDescent="0.25">
      <c r="A34" s="1909" t="s">
        <v>1515</v>
      </c>
      <c r="B34" s="1909"/>
      <c r="C34" s="1909"/>
      <c r="D34" s="1909"/>
      <c r="E34" s="1909"/>
      <c r="F34" s="1909"/>
      <c r="G34" s="1909"/>
      <c r="H34" s="1909"/>
      <c r="I34" s="1909"/>
      <c r="J34" s="1909"/>
      <c r="K34" s="1909"/>
    </row>
    <row r="35" spans="1:14" ht="18.75" customHeight="1" x14ac:dyDescent="0.25">
      <c r="A35" s="631"/>
      <c r="B35" s="325"/>
      <c r="C35" s="325"/>
      <c r="D35" s="325"/>
      <c r="E35" s="325"/>
      <c r="F35" s="325"/>
      <c r="G35" s="325"/>
      <c r="H35" s="325"/>
      <c r="I35" s="325"/>
      <c r="J35" s="325"/>
      <c r="K35" s="325"/>
    </row>
    <row r="36" spans="1:14" ht="18.75" customHeight="1" x14ac:dyDescent="0.25">
      <c r="A36" s="631"/>
      <c r="B36" s="325"/>
      <c r="C36" s="325"/>
      <c r="D36" s="325"/>
      <c r="E36" s="325"/>
      <c r="F36" s="325"/>
      <c r="G36" s="325"/>
      <c r="H36" s="325"/>
      <c r="I36" s="325"/>
      <c r="J36" s="325"/>
      <c r="K36" s="325"/>
    </row>
    <row r="37" spans="1:14" ht="18.75" customHeight="1" x14ac:dyDescent="0.25">
      <c r="A37" s="631"/>
      <c r="B37" s="325"/>
      <c r="C37" s="325"/>
      <c r="D37" s="325"/>
      <c r="E37" s="325"/>
      <c r="F37" s="325"/>
      <c r="G37" s="325"/>
      <c r="H37" s="325"/>
      <c r="I37" s="325"/>
      <c r="J37" s="325"/>
      <c r="K37" s="325"/>
    </row>
    <row r="38" spans="1:14" ht="18" customHeight="1" x14ac:dyDescent="0.25">
      <c r="A38" s="1909" t="s">
        <v>971</v>
      </c>
      <c r="B38" s="1909"/>
      <c r="C38" s="1909"/>
      <c r="D38" s="1909"/>
      <c r="E38" s="1909"/>
      <c r="F38" s="1909"/>
      <c r="G38" s="1909"/>
      <c r="H38" s="1909"/>
      <c r="I38" s="1909"/>
      <c r="J38" s="1909"/>
      <c r="K38" s="1909"/>
    </row>
    <row r="39" spans="1:14" customFormat="1" ht="15" customHeight="1" x14ac:dyDescent="0.25">
      <c r="A39" s="632"/>
      <c r="B39" s="632"/>
      <c r="C39" s="632"/>
      <c r="D39" s="632"/>
      <c r="E39" s="632"/>
      <c r="F39" s="632"/>
      <c r="G39" s="632"/>
      <c r="H39" s="632"/>
      <c r="I39" s="632"/>
      <c r="J39" s="632"/>
      <c r="K39" s="632"/>
      <c r="L39" s="5"/>
      <c r="M39" s="5"/>
      <c r="N39" s="5"/>
    </row>
    <row r="40" spans="1:14" customFormat="1" ht="16.5" customHeight="1" x14ac:dyDescent="0.25">
      <c r="A40" s="632"/>
      <c r="B40" s="1744" t="s">
        <v>1525</v>
      </c>
      <c r="C40" s="1938"/>
      <c r="D40" s="1939" t="s">
        <v>1807</v>
      </c>
      <c r="E40" s="1939"/>
      <c r="F40" s="632"/>
      <c r="G40" s="632"/>
      <c r="H40" s="632"/>
      <c r="I40" s="632"/>
      <c r="J40" s="632"/>
      <c r="K40" s="632"/>
      <c r="L40" s="5"/>
      <c r="M40" s="5"/>
      <c r="N40" s="5"/>
    </row>
    <row r="41" spans="1:14" customFormat="1" ht="17.25" customHeight="1" x14ac:dyDescent="0.25">
      <c r="A41" s="632"/>
      <c r="B41" s="632"/>
      <c r="C41" s="632"/>
      <c r="D41" s="632"/>
      <c r="E41" s="632"/>
      <c r="F41" s="632"/>
      <c r="G41" s="632"/>
      <c r="H41" s="632"/>
      <c r="I41" s="632"/>
      <c r="J41" s="632"/>
      <c r="K41" s="632"/>
      <c r="L41" s="5"/>
      <c r="M41" s="5"/>
      <c r="N41" s="5"/>
    </row>
    <row r="42" spans="1:14" ht="18" customHeight="1" x14ac:dyDescent="0.25">
      <c r="A42" s="1909" t="s">
        <v>1590</v>
      </c>
      <c r="B42" s="1909"/>
      <c r="C42" s="1909"/>
      <c r="D42" s="1909"/>
      <c r="E42" s="1909"/>
      <c r="F42" s="1909"/>
      <c r="G42" s="1909"/>
      <c r="H42" s="1909"/>
      <c r="I42" s="1909"/>
      <c r="J42" s="1909"/>
      <c r="K42" s="1909"/>
    </row>
    <row r="43" spans="1:14" s="633" customFormat="1" ht="15" customHeight="1" x14ac:dyDescent="0.25">
      <c r="A43" s="632"/>
      <c r="B43" s="632"/>
      <c r="C43" s="632"/>
      <c r="D43" s="632"/>
      <c r="E43" s="632"/>
      <c r="F43" s="632"/>
      <c r="G43" s="632"/>
      <c r="H43" s="632"/>
      <c r="I43" s="632"/>
      <c r="J43" s="632"/>
      <c r="K43" s="632"/>
      <c r="L43" s="35"/>
      <c r="M43" s="35"/>
    </row>
    <row r="44" spans="1:14" ht="16.5" customHeight="1" x14ac:dyDescent="0.25">
      <c r="A44" s="1894" t="s">
        <v>102</v>
      </c>
      <c r="B44" s="1894"/>
      <c r="C44" s="1894"/>
      <c r="D44" s="325"/>
      <c r="E44" s="325"/>
      <c r="F44" s="325"/>
      <c r="G44" s="325"/>
      <c r="H44" s="632"/>
      <c r="I44" s="632"/>
      <c r="J44" s="632"/>
      <c r="K44" s="632"/>
      <c r="L44" s="45"/>
    </row>
    <row r="45" spans="1:14" ht="15" customHeight="1" x14ac:dyDescent="0.25">
      <c r="A45" s="631"/>
      <c r="B45" s="325"/>
      <c r="C45" s="325"/>
      <c r="D45" s="325"/>
      <c r="E45" s="325"/>
      <c r="F45" s="325"/>
      <c r="G45" s="325"/>
      <c r="H45" s="632"/>
      <c r="I45" s="632"/>
      <c r="J45" s="632"/>
      <c r="K45" s="632"/>
      <c r="L45" s="45"/>
    </row>
    <row r="46" spans="1:14" ht="15" customHeight="1" x14ac:dyDescent="0.25">
      <c r="A46" s="631"/>
      <c r="B46" s="638" t="s">
        <v>1592</v>
      </c>
      <c r="C46" s="325"/>
      <c r="D46" s="325"/>
      <c r="E46" s="325"/>
      <c r="F46" s="325"/>
      <c r="G46" s="325"/>
      <c r="H46" s="632"/>
      <c r="I46" s="632"/>
      <c r="J46" s="632"/>
      <c r="K46" s="632"/>
      <c r="L46" s="45"/>
    </row>
    <row r="47" spans="1:14" ht="15" customHeight="1" x14ac:dyDescent="0.25">
      <c r="A47" s="631"/>
      <c r="B47" s="325"/>
      <c r="C47" s="325"/>
      <c r="D47" s="325"/>
      <c r="E47" s="325"/>
      <c r="F47" s="325"/>
      <c r="G47" s="325"/>
      <c r="H47" s="632"/>
      <c r="I47" s="632"/>
      <c r="J47" s="632"/>
      <c r="K47" s="632"/>
      <c r="L47" s="45"/>
    </row>
    <row r="48" spans="1:14" ht="15" customHeight="1" x14ac:dyDescent="0.25">
      <c r="A48" s="631"/>
      <c r="B48" s="1844" t="s">
        <v>1593</v>
      </c>
      <c r="C48" s="1845"/>
      <c r="D48" s="1845"/>
      <c r="E48" s="1845"/>
      <c r="F48" s="1845"/>
      <c r="G48" s="1846"/>
      <c r="H48" s="632"/>
      <c r="I48" s="632"/>
      <c r="J48" s="632"/>
      <c r="K48" s="632"/>
      <c r="L48" s="45"/>
    </row>
    <row r="49" spans="1:12" ht="15" customHeight="1" x14ac:dyDescent="0.25">
      <c r="A49" s="631"/>
      <c r="B49" s="1942" t="s">
        <v>1594</v>
      </c>
      <c r="C49" s="1943"/>
      <c r="D49" s="1943"/>
      <c r="E49" s="1943"/>
      <c r="F49" s="1943"/>
      <c r="G49" s="1944"/>
      <c r="H49" s="632"/>
      <c r="I49" s="632"/>
      <c r="J49" s="632"/>
      <c r="K49" s="632"/>
      <c r="L49" s="45"/>
    </row>
    <row r="50" spans="1:12" ht="15" customHeight="1" x14ac:dyDescent="0.25">
      <c r="A50" s="631"/>
      <c r="B50" s="1942" t="s">
        <v>1615</v>
      </c>
      <c r="C50" s="1943"/>
      <c r="D50" s="1943"/>
      <c r="E50" s="1943"/>
      <c r="F50" s="1943"/>
      <c r="G50" s="1944"/>
      <c r="H50" s="632"/>
      <c r="I50" s="632"/>
      <c r="J50" s="632"/>
      <c r="K50" s="632"/>
      <c r="L50" s="45"/>
    </row>
    <row r="51" spans="1:12" ht="15" customHeight="1" x14ac:dyDescent="0.25">
      <c r="A51" s="631"/>
      <c r="B51" s="1942" t="s">
        <v>1595</v>
      </c>
      <c r="C51" s="1943"/>
      <c r="D51" s="1943"/>
      <c r="E51" s="1943"/>
      <c r="F51" s="1943"/>
      <c r="G51" s="1944"/>
      <c r="H51" s="632"/>
      <c r="I51" s="632"/>
      <c r="J51" s="632"/>
      <c r="K51" s="632"/>
      <c r="L51" s="45"/>
    </row>
    <row r="52" spans="1:12" ht="15" customHeight="1" x14ac:dyDescent="0.25">
      <c r="A52" s="631"/>
      <c r="B52" s="1945" t="s">
        <v>1596</v>
      </c>
      <c r="C52" s="1946"/>
      <c r="D52" s="1946"/>
      <c r="E52" s="1946"/>
      <c r="F52" s="1946"/>
      <c r="G52" s="1947"/>
      <c r="H52" s="632"/>
      <c r="I52" s="632"/>
      <c r="J52" s="632"/>
      <c r="K52" s="632"/>
      <c r="L52" s="45"/>
    </row>
    <row r="53" spans="1:12" ht="9.75" customHeight="1" x14ac:dyDescent="0.25">
      <c r="A53" s="631"/>
      <c r="B53" s="325"/>
      <c r="C53" s="325"/>
      <c r="D53" s="325"/>
      <c r="E53" s="325"/>
      <c r="F53" s="325"/>
      <c r="G53" s="325"/>
      <c r="H53" s="632"/>
      <c r="I53" s="632"/>
      <c r="J53" s="632"/>
      <c r="K53" s="632"/>
      <c r="L53" s="45"/>
    </row>
    <row r="54" spans="1:12" ht="9.75" customHeight="1" x14ac:dyDescent="0.25">
      <c r="A54" s="631"/>
      <c r="B54" s="325"/>
      <c r="C54" s="325"/>
      <c r="D54" s="325"/>
      <c r="E54" s="325"/>
      <c r="F54" s="325"/>
      <c r="G54" s="325"/>
      <c r="H54" s="632"/>
      <c r="I54" s="632"/>
      <c r="J54" s="632"/>
      <c r="K54" s="632"/>
      <c r="L54" s="45"/>
    </row>
    <row r="55" spans="1:12" ht="18" customHeight="1" x14ac:dyDescent="0.25">
      <c r="A55" s="1894" t="s">
        <v>6</v>
      </c>
      <c r="B55" s="1894"/>
      <c r="C55" s="1894"/>
      <c r="D55" s="325"/>
      <c r="E55" s="325"/>
      <c r="F55" s="325"/>
      <c r="G55" s="325"/>
      <c r="H55" s="632"/>
      <c r="I55" s="632"/>
      <c r="J55" s="632"/>
      <c r="K55" s="632"/>
      <c r="L55" s="45"/>
    </row>
    <row r="56" spans="1:12" x14ac:dyDescent="0.25">
      <c r="A56" s="325"/>
      <c r="B56" s="325"/>
      <c r="C56" s="325"/>
      <c r="D56" s="325"/>
      <c r="E56" s="325"/>
      <c r="F56" s="325"/>
      <c r="G56" s="325"/>
      <c r="H56" s="632"/>
      <c r="I56" s="632"/>
      <c r="J56" s="632"/>
      <c r="K56" s="632"/>
      <c r="L56" s="45"/>
    </row>
    <row r="57" spans="1:12" x14ac:dyDescent="0.25">
      <c r="A57" s="325"/>
      <c r="B57" s="1948" t="s">
        <v>1597</v>
      </c>
      <c r="C57" s="1949"/>
      <c r="D57" s="1949"/>
      <c r="E57" s="1949"/>
      <c r="F57" s="1949"/>
      <c r="G57" s="325"/>
      <c r="H57" s="632"/>
      <c r="I57" s="632"/>
      <c r="J57" s="632"/>
      <c r="K57" s="632"/>
      <c r="L57" s="45"/>
    </row>
    <row r="58" spans="1:12" x14ac:dyDescent="0.25">
      <c r="A58" s="325"/>
      <c r="B58" s="325"/>
      <c r="C58" s="325"/>
      <c r="D58" s="325"/>
      <c r="E58" s="325"/>
      <c r="F58" s="325"/>
      <c r="G58" s="325"/>
      <c r="H58" s="632"/>
      <c r="I58" s="632"/>
      <c r="J58" s="632"/>
      <c r="K58" s="632"/>
      <c r="L58" s="45"/>
    </row>
    <row r="59" spans="1:12" ht="20.25" customHeight="1" x14ac:dyDescent="0.25">
      <c r="A59" s="325"/>
      <c r="B59" s="1919" t="s">
        <v>75</v>
      </c>
      <c r="C59" s="1920"/>
      <c r="D59" s="1921" t="s">
        <v>1598</v>
      </c>
      <c r="E59" s="1921"/>
      <c r="F59" s="1921" t="s">
        <v>757</v>
      </c>
      <c r="G59" s="1950" t="s">
        <v>77</v>
      </c>
      <c r="H59" s="632"/>
      <c r="I59" s="632"/>
      <c r="J59" s="632"/>
      <c r="K59" s="632"/>
      <c r="L59" s="45"/>
    </row>
    <row r="60" spans="1:12" ht="20.25" customHeight="1" x14ac:dyDescent="0.25">
      <c r="A60" s="325"/>
      <c r="B60" s="634" t="s">
        <v>79</v>
      </c>
      <c r="C60" s="635" t="s">
        <v>72</v>
      </c>
      <c r="D60" s="1922"/>
      <c r="E60" s="1922"/>
      <c r="F60" s="1922"/>
      <c r="G60" s="1951"/>
      <c r="H60" s="632"/>
      <c r="I60" s="632"/>
      <c r="J60" s="632"/>
      <c r="K60" s="632"/>
      <c r="L60" s="45"/>
    </row>
    <row r="61" spans="1:12" x14ac:dyDescent="0.25">
      <c r="A61" s="325"/>
      <c r="B61" s="1908"/>
      <c r="C61" s="1908" t="s">
        <v>53</v>
      </c>
      <c r="D61" s="954" t="s">
        <v>73</v>
      </c>
      <c r="E61" s="934"/>
      <c r="F61" s="955">
        <v>3</v>
      </c>
      <c r="G61" s="1959" t="str">
        <f>IF(C61="Single Flush","No",IF(AND(E61&lt;&gt;"",E62&lt;&gt;""),IF(AND(E61&lt;=F61,E62&lt;=F62),"Yes","No"),""))</f>
        <v/>
      </c>
      <c r="H61" s="632"/>
      <c r="I61" s="632"/>
      <c r="J61" s="632"/>
      <c r="K61" s="632"/>
      <c r="L61" s="45"/>
    </row>
    <row r="62" spans="1:12" x14ac:dyDescent="0.25">
      <c r="A62" s="325"/>
      <c r="B62" s="1953"/>
      <c r="C62" s="1953"/>
      <c r="D62" s="62" t="s">
        <v>74</v>
      </c>
      <c r="E62" s="100"/>
      <c r="F62" s="550">
        <v>4.5</v>
      </c>
      <c r="G62" s="1940"/>
      <c r="H62" s="632"/>
      <c r="I62" s="632"/>
      <c r="J62" s="632"/>
      <c r="K62" s="632"/>
      <c r="L62" s="45"/>
    </row>
    <row r="63" spans="1:12" x14ac:dyDescent="0.25">
      <c r="A63" s="325"/>
      <c r="B63" s="1953"/>
      <c r="C63" s="1953" t="s">
        <v>53</v>
      </c>
      <c r="D63" s="62" t="s">
        <v>73</v>
      </c>
      <c r="E63" s="100"/>
      <c r="F63" s="550">
        <v>3</v>
      </c>
      <c r="G63" s="1940" t="str">
        <f>IF(C63="Single Flush","No",IF(AND(E63&lt;&gt;"",E64&lt;&gt;""),IF(AND(E63&lt;=F63,E64&lt;=F64),"Yes","No"),""))</f>
        <v/>
      </c>
      <c r="H63" s="632"/>
      <c r="I63" s="632"/>
      <c r="J63" s="632"/>
      <c r="K63" s="632"/>
      <c r="L63" s="45"/>
    </row>
    <row r="64" spans="1:12" x14ac:dyDescent="0.25">
      <c r="A64" s="325"/>
      <c r="B64" s="1953"/>
      <c r="C64" s="1953"/>
      <c r="D64" s="62" t="s">
        <v>74</v>
      </c>
      <c r="E64" s="100"/>
      <c r="F64" s="550">
        <v>4.5</v>
      </c>
      <c r="G64" s="1940"/>
      <c r="H64" s="632"/>
      <c r="I64" s="632"/>
      <c r="J64" s="632"/>
      <c r="K64" s="632"/>
      <c r="L64" s="45"/>
    </row>
    <row r="65" spans="1:12" x14ac:dyDescent="0.25">
      <c r="A65" s="325"/>
      <c r="B65" s="1953"/>
      <c r="C65" s="1953" t="s">
        <v>53</v>
      </c>
      <c r="D65" s="62" t="s">
        <v>73</v>
      </c>
      <c r="E65" s="100"/>
      <c r="F65" s="550">
        <v>3</v>
      </c>
      <c r="G65" s="1940" t="str">
        <f>IF(C65="Single Flush","No",IF(AND(E65&lt;&gt;"",E66&lt;&gt;""),IF(AND(E65&lt;=F65,E66&lt;=F66),"Yes","No"),""))</f>
        <v/>
      </c>
      <c r="H65" s="632"/>
      <c r="I65" s="632"/>
      <c r="J65" s="632"/>
      <c r="K65" s="632"/>
      <c r="L65" s="45"/>
    </row>
    <row r="66" spans="1:12" x14ac:dyDescent="0.25">
      <c r="A66" s="325"/>
      <c r="B66" s="1953"/>
      <c r="C66" s="1953"/>
      <c r="D66" s="62" t="s">
        <v>74</v>
      </c>
      <c r="E66" s="100"/>
      <c r="F66" s="550">
        <v>4.5</v>
      </c>
      <c r="G66" s="1941"/>
      <c r="H66" s="632"/>
      <c r="I66" s="632"/>
      <c r="J66" s="632"/>
      <c r="K66" s="632"/>
      <c r="L66" s="45"/>
    </row>
    <row r="67" spans="1:12" ht="16.5" customHeight="1" x14ac:dyDescent="0.25">
      <c r="A67" s="325"/>
      <c r="B67" s="325"/>
      <c r="C67" s="325"/>
      <c r="D67" s="325"/>
      <c r="E67" s="325"/>
      <c r="F67" s="325"/>
      <c r="G67" s="59" t="str">
        <f>IF(COUNTBLANK(E61:E66)=6,"",IF(COUNTIF(G61:G66,"Yes")=0,"No",IF(COUNTIF(G61:G66,"No")=0,"Yes","No")))</f>
        <v/>
      </c>
      <c r="H67" s="632"/>
      <c r="I67" s="632"/>
      <c r="J67" s="632"/>
      <c r="K67" s="632"/>
      <c r="L67" s="45"/>
    </row>
    <row r="68" spans="1:12" ht="12" customHeight="1" x14ac:dyDescent="0.25">
      <c r="A68" s="325"/>
      <c r="B68" s="325"/>
      <c r="C68" s="325"/>
      <c r="D68" s="325"/>
      <c r="E68" s="325"/>
      <c r="F68" s="325"/>
      <c r="G68" s="325"/>
      <c r="H68" s="632"/>
      <c r="I68" s="632"/>
      <c r="J68" s="632"/>
      <c r="K68" s="632"/>
      <c r="L68" s="45"/>
    </row>
    <row r="69" spans="1:12" ht="33" customHeight="1" x14ac:dyDescent="0.25">
      <c r="A69" s="325"/>
      <c r="B69" s="1927" t="s">
        <v>1250</v>
      </c>
      <c r="C69" s="1928"/>
      <c r="D69" s="1914" t="s">
        <v>76</v>
      </c>
      <c r="E69" s="1914"/>
      <c r="F69" s="933" t="s">
        <v>757</v>
      </c>
      <c r="G69" s="931" t="s">
        <v>77</v>
      </c>
      <c r="H69" s="632"/>
      <c r="I69" s="632"/>
      <c r="J69" s="632"/>
      <c r="K69" s="632"/>
      <c r="L69" s="45"/>
    </row>
    <row r="70" spans="1:12" x14ac:dyDescent="0.25">
      <c r="A70" s="325"/>
      <c r="B70" s="1908"/>
      <c r="C70" s="1908"/>
      <c r="D70" s="1908"/>
      <c r="E70" s="1908"/>
      <c r="F70" s="956">
        <v>3</v>
      </c>
      <c r="G70" s="956" t="str">
        <f>IF(D70&lt;&gt;"",IF(D70&lt;=F70,"Yes","No"),"")</f>
        <v/>
      </c>
      <c r="H70" s="632"/>
      <c r="I70" s="632"/>
      <c r="J70" s="632"/>
      <c r="K70" s="632"/>
      <c r="L70" s="45"/>
    </row>
    <row r="71" spans="1:12" x14ac:dyDescent="0.25">
      <c r="A71" s="325"/>
      <c r="B71" s="1953"/>
      <c r="C71" s="1953"/>
      <c r="D71" s="1953"/>
      <c r="E71" s="1953"/>
      <c r="F71" s="956">
        <v>3</v>
      </c>
      <c r="G71" s="932" t="str">
        <f>IF(D71&lt;&gt;"",IF(D71&lt;=F71,"Yes","No"),"")</f>
        <v/>
      </c>
      <c r="H71" s="632"/>
      <c r="I71" s="632"/>
      <c r="J71" s="632"/>
      <c r="K71" s="632"/>
      <c r="L71" s="45"/>
    </row>
    <row r="72" spans="1:12" x14ac:dyDescent="0.25">
      <c r="A72" s="325"/>
      <c r="B72" s="1953"/>
      <c r="C72" s="1953"/>
      <c r="D72" s="1953"/>
      <c r="E72" s="1953"/>
      <c r="F72" s="956">
        <v>3</v>
      </c>
      <c r="G72" s="932" t="str">
        <f>IF(D72&lt;&gt;"",IF(D72&lt;=F72,"Yes","No"),"")</f>
        <v/>
      </c>
      <c r="H72" s="632"/>
      <c r="I72" s="632"/>
      <c r="J72" s="632"/>
      <c r="K72" s="632"/>
      <c r="L72" s="45"/>
    </row>
    <row r="73" spans="1:12" ht="16.5" customHeight="1" x14ac:dyDescent="0.25">
      <c r="A73" s="325"/>
      <c r="B73" s="325"/>
      <c r="C73" s="325"/>
      <c r="D73" s="325"/>
      <c r="E73" s="325"/>
      <c r="F73" s="325"/>
      <c r="G73" s="59" t="str">
        <f>IF(COUNTBLANK(D70:E72)=6,"",IF(COUNTIF(G70:G72,"Yes")=0,"No",IF(COUNTIF(G70:G72,"No")=0,"Yes","No")))</f>
        <v/>
      </c>
      <c r="H73" s="632"/>
      <c r="I73" s="632"/>
      <c r="J73" s="632"/>
      <c r="K73" s="632"/>
      <c r="L73" s="45"/>
    </row>
    <row r="74" spans="1:12" ht="12" customHeight="1" x14ac:dyDescent="0.25">
      <c r="A74" s="325"/>
      <c r="B74" s="325"/>
      <c r="C74" s="325"/>
      <c r="D74" s="325"/>
      <c r="E74" s="325"/>
      <c r="F74" s="325"/>
      <c r="G74" s="325"/>
      <c r="H74" s="632"/>
      <c r="I74" s="632"/>
      <c r="J74" s="632"/>
      <c r="K74" s="632"/>
      <c r="L74" s="45"/>
    </row>
    <row r="75" spans="1:12" ht="33" customHeight="1" x14ac:dyDescent="0.25">
      <c r="A75" s="325"/>
      <c r="B75" s="1927" t="s">
        <v>1613</v>
      </c>
      <c r="C75" s="1928"/>
      <c r="D75" s="1914" t="s">
        <v>76</v>
      </c>
      <c r="E75" s="1914"/>
      <c r="F75" s="933" t="s">
        <v>1599</v>
      </c>
      <c r="G75" s="931" t="s">
        <v>77</v>
      </c>
      <c r="H75" s="632"/>
      <c r="I75" s="632"/>
      <c r="J75" s="632"/>
      <c r="K75" s="632"/>
      <c r="L75" s="45"/>
    </row>
    <row r="76" spans="1:12" x14ac:dyDescent="0.25">
      <c r="A76" s="325"/>
      <c r="B76" s="1953"/>
      <c r="C76" s="1953"/>
      <c r="D76" s="1953"/>
      <c r="E76" s="1953"/>
      <c r="F76" s="932">
        <v>0.12</v>
      </c>
      <c r="G76" s="932" t="str">
        <f>IF(D76&lt;&gt;"",IF(D76&lt;=F76,"Yes","No"),"")</f>
        <v/>
      </c>
      <c r="H76" s="632"/>
      <c r="I76" s="632"/>
      <c r="J76" s="632"/>
      <c r="K76" s="632"/>
      <c r="L76" s="45"/>
    </row>
    <row r="77" spans="1:12" x14ac:dyDescent="0.25">
      <c r="A77" s="325"/>
      <c r="B77" s="1953"/>
      <c r="C77" s="1953"/>
      <c r="D77" s="1953"/>
      <c r="E77" s="1953"/>
      <c r="F77" s="932">
        <v>0.12</v>
      </c>
      <c r="G77" s="932" t="str">
        <f>IF(D77&lt;&gt;"",IF(D77&lt;=F77,"Yes","No"),"")</f>
        <v/>
      </c>
      <c r="H77" s="632"/>
      <c r="I77" s="632"/>
      <c r="J77" s="632"/>
      <c r="K77" s="632"/>
      <c r="L77" s="45"/>
    </row>
    <row r="78" spans="1:12" x14ac:dyDescent="0.25">
      <c r="A78" s="325"/>
      <c r="B78" s="1903"/>
      <c r="C78" s="1904"/>
      <c r="D78" s="1953"/>
      <c r="E78" s="1953"/>
      <c r="F78" s="932">
        <v>0.12</v>
      </c>
      <c r="G78" s="932" t="str">
        <f>IF(D78&lt;&gt;"",IF(D78&lt;=F78,"Yes","No"),"")</f>
        <v/>
      </c>
      <c r="H78" s="632"/>
      <c r="I78" s="632"/>
      <c r="J78" s="632"/>
      <c r="K78" s="632"/>
      <c r="L78" s="45"/>
    </row>
    <row r="79" spans="1:12" ht="16.5" customHeight="1" x14ac:dyDescent="0.25">
      <c r="A79" s="325"/>
      <c r="B79" s="325"/>
      <c r="C79" s="325"/>
      <c r="D79" s="325"/>
      <c r="E79" s="325"/>
      <c r="F79" s="325"/>
      <c r="G79" s="59" t="str">
        <f>IF(COUNTBLANK(D76:E78)=6,"",IF(COUNTIF(G76:G78,"Yes")=0,"No",IF(COUNTIF(G76:G78,"No")=0,"Yes","No")))</f>
        <v/>
      </c>
      <c r="H79" s="632"/>
      <c r="I79" s="632"/>
      <c r="J79" s="632"/>
      <c r="K79" s="632"/>
      <c r="L79" s="45"/>
    </row>
    <row r="80" spans="1:12" ht="12" customHeight="1" x14ac:dyDescent="0.25">
      <c r="A80" s="325"/>
      <c r="B80" s="325"/>
      <c r="C80" s="325"/>
      <c r="D80" s="325"/>
      <c r="E80" s="325"/>
      <c r="F80" s="325"/>
      <c r="G80" s="325"/>
      <c r="H80" s="632"/>
      <c r="I80" s="632"/>
      <c r="J80" s="632"/>
      <c r="K80" s="632"/>
      <c r="L80" s="45"/>
    </row>
    <row r="81" spans="1:12" ht="33" customHeight="1" x14ac:dyDescent="0.25">
      <c r="A81" s="325"/>
      <c r="B81" s="1927" t="s">
        <v>758</v>
      </c>
      <c r="C81" s="1928"/>
      <c r="D81" s="1914" t="s">
        <v>76</v>
      </c>
      <c r="E81" s="1914"/>
      <c r="F81" s="933" t="s">
        <v>1599</v>
      </c>
      <c r="G81" s="931" t="s">
        <v>77</v>
      </c>
      <c r="H81" s="632"/>
      <c r="I81" s="632"/>
      <c r="J81" s="632"/>
      <c r="K81" s="632"/>
      <c r="L81" s="45"/>
    </row>
    <row r="82" spans="1:12" x14ac:dyDescent="0.25">
      <c r="A82" s="325"/>
      <c r="B82" s="1908"/>
      <c r="C82" s="1908"/>
      <c r="D82" s="1908"/>
      <c r="E82" s="1908"/>
      <c r="F82" s="956">
        <v>0.14000000000000001</v>
      </c>
      <c r="G82" s="956" t="str">
        <f>IF(D82&lt;&gt;"",IF(D82&lt;=F82,"Yes","No"),"")</f>
        <v/>
      </c>
      <c r="H82" s="632"/>
      <c r="I82" s="632"/>
      <c r="J82" s="632"/>
      <c r="K82" s="632"/>
      <c r="L82" s="45"/>
    </row>
    <row r="83" spans="1:12" x14ac:dyDescent="0.25">
      <c r="A83" s="325"/>
      <c r="B83" s="1953"/>
      <c r="C83" s="1953"/>
      <c r="D83" s="1953"/>
      <c r="E83" s="1953"/>
      <c r="F83" s="932">
        <v>0.14000000000000001</v>
      </c>
      <c r="G83" s="932" t="str">
        <f>IF(D83&lt;&gt;"",IF(D83&lt;=F83,"Yes","No"),"")</f>
        <v/>
      </c>
      <c r="H83" s="632"/>
      <c r="I83" s="632"/>
      <c r="J83" s="632"/>
      <c r="K83" s="632"/>
      <c r="L83" s="45"/>
    </row>
    <row r="84" spans="1:12" x14ac:dyDescent="0.25">
      <c r="A84" s="325"/>
      <c r="B84" s="1953"/>
      <c r="C84" s="1953"/>
      <c r="D84" s="1953"/>
      <c r="E84" s="1953"/>
      <c r="F84" s="932">
        <v>0.14000000000000001</v>
      </c>
      <c r="G84" s="932" t="str">
        <f>IF(D84&lt;&gt;"",IF(D84&lt;=F84,"Yes","No"),"")</f>
        <v/>
      </c>
      <c r="H84" s="632"/>
      <c r="I84" s="632"/>
      <c r="J84" s="632"/>
      <c r="K84" s="632"/>
      <c r="L84" s="46"/>
    </row>
    <row r="85" spans="1:12" ht="16.5" customHeight="1" x14ac:dyDescent="0.25">
      <c r="A85" s="325"/>
      <c r="B85" s="325"/>
      <c r="C85" s="325"/>
      <c r="D85" s="325"/>
      <c r="E85" s="325"/>
      <c r="F85" s="325"/>
      <c r="G85" s="59" t="str">
        <f>IF(COUNTBLANK(D82:E84)=6,"",IF(COUNTIF(G82:G84,"Yes")=0,"No",IF(COUNTIF(G82:G84,"No")=0,"Yes","No")))</f>
        <v/>
      </c>
      <c r="H85" s="632"/>
      <c r="I85" s="632"/>
      <c r="J85" s="632"/>
      <c r="K85" s="632"/>
      <c r="L85" s="46"/>
    </row>
    <row r="86" spans="1:12" x14ac:dyDescent="0.25">
      <c r="A86" s="632"/>
      <c r="B86" s="632"/>
      <c r="C86" s="632"/>
      <c r="D86" s="632"/>
      <c r="E86" s="632"/>
      <c r="F86" s="632"/>
      <c r="G86" s="632"/>
      <c r="H86" s="632"/>
      <c r="I86" s="632"/>
      <c r="J86" s="632"/>
      <c r="K86" s="632"/>
      <c r="L86" s="46"/>
    </row>
    <row r="87" spans="1:12" ht="16.5" customHeight="1" x14ac:dyDescent="0.25">
      <c r="A87" s="1894" t="s">
        <v>84</v>
      </c>
      <c r="B87" s="1894"/>
      <c r="C87" s="1894"/>
      <c r="D87" s="632"/>
      <c r="E87" s="632"/>
      <c r="F87" s="632"/>
      <c r="G87" s="632"/>
      <c r="H87" s="632"/>
      <c r="I87" s="632"/>
      <c r="J87" s="632"/>
      <c r="K87" s="632"/>
      <c r="L87" s="46"/>
    </row>
    <row r="88" spans="1:12" ht="12.75" customHeight="1" x14ac:dyDescent="0.25">
      <c r="A88" s="632"/>
      <c r="B88" s="632"/>
      <c r="C88" s="632"/>
      <c r="D88" s="632"/>
      <c r="E88" s="632"/>
      <c r="F88" s="632"/>
      <c r="G88" s="632"/>
      <c r="H88" s="632"/>
      <c r="I88" s="632"/>
      <c r="J88" s="632"/>
      <c r="K88" s="632"/>
      <c r="L88" s="46"/>
    </row>
    <row r="89" spans="1:12" ht="21" customHeight="1" x14ac:dyDescent="0.25">
      <c r="A89" s="632"/>
      <c r="B89" s="1897" t="s">
        <v>1530</v>
      </c>
      <c r="C89" s="1898"/>
      <c r="D89" s="1898"/>
      <c r="E89" s="1898"/>
      <c r="F89" s="1898"/>
      <c r="G89" s="935" t="s">
        <v>907</v>
      </c>
      <c r="H89" s="1899" t="s">
        <v>908</v>
      </c>
      <c r="I89" s="1931"/>
      <c r="J89" s="632"/>
      <c r="K89" s="632"/>
      <c r="L89" s="46"/>
    </row>
    <row r="90" spans="1:12" ht="53.25" customHeight="1" x14ac:dyDescent="0.25">
      <c r="A90" s="632"/>
      <c r="B90" s="1648" t="str">
        <f>Submittals!G46</f>
        <v>• Manufacturer's data of all the water efficient fixtures installed showing the water usage of the fixtures (flowrates or flush volumes) - OR -
• Test measurements results showing the water usage of the fixtures (flowrates or flush volumes) of all the water fixtures installed</v>
      </c>
      <c r="C90" s="1649"/>
      <c r="D90" s="1649"/>
      <c r="E90" s="1649"/>
      <c r="F90" s="1649"/>
      <c r="G90" s="929" t="s">
        <v>53</v>
      </c>
      <c r="H90" s="1651"/>
      <c r="I90" s="1652"/>
      <c r="J90" s="632"/>
      <c r="K90" s="632"/>
      <c r="L90" s="35" t="str">
        <f>IF(OR(B90="/",B90="No evidence required at this submission stage"),"Yes",IF(G90="Submitted","Yes","No"))</f>
        <v>No</v>
      </c>
    </row>
    <row r="91" spans="1:12" ht="24" customHeight="1" x14ac:dyDescent="0.25">
      <c r="A91" s="632"/>
      <c r="B91" s="1648" t="str">
        <f>Submittals!G47</f>
        <v>• Evidence that the water efficient fixtures have been installed such as photographs, receipts, delivery order, etc.</v>
      </c>
      <c r="C91" s="1649"/>
      <c r="D91" s="1649"/>
      <c r="E91" s="1649"/>
      <c r="F91" s="1649"/>
      <c r="G91" s="929" t="s">
        <v>53</v>
      </c>
      <c r="H91" s="1651"/>
      <c r="I91" s="1652"/>
      <c r="J91" s="632"/>
      <c r="K91" s="632"/>
      <c r="L91" s="35" t="str">
        <f t="shared" ref="L91" si="2">IF(OR(B91="/",B91="No evidence required at this submission stage"),"Yes",IF(G91="Submitted","Yes","No"))</f>
        <v>No</v>
      </c>
    </row>
    <row r="92" spans="1:12" ht="16.5" customHeight="1" x14ac:dyDescent="0.25">
      <c r="A92" s="632"/>
      <c r="B92" s="632"/>
      <c r="C92" s="632"/>
      <c r="D92" s="632"/>
      <c r="E92" s="632"/>
      <c r="F92" s="632"/>
      <c r="G92" s="632"/>
      <c r="H92" s="632"/>
      <c r="I92" s="632"/>
      <c r="J92" s="632"/>
      <c r="K92" s="632"/>
      <c r="L92" s="46"/>
    </row>
    <row r="93" spans="1:12" ht="16.5" customHeight="1" x14ac:dyDescent="0.25">
      <c r="A93" s="1894" t="s">
        <v>5</v>
      </c>
      <c r="B93" s="1894"/>
      <c r="C93" s="1894"/>
      <c r="D93" s="632"/>
      <c r="E93" s="632"/>
      <c r="F93" s="632"/>
      <c r="G93" s="632"/>
      <c r="H93" s="632"/>
      <c r="I93" s="632"/>
      <c r="J93" s="632"/>
      <c r="K93" s="632"/>
      <c r="L93" s="46"/>
    </row>
    <row r="94" spans="1:12" x14ac:dyDescent="0.25">
      <c r="A94" s="632"/>
      <c r="B94" s="632"/>
      <c r="C94" s="632"/>
      <c r="D94" s="632"/>
      <c r="E94" s="632"/>
      <c r="F94" s="632"/>
      <c r="G94" s="632"/>
      <c r="H94" s="632"/>
      <c r="I94" s="632"/>
      <c r="J94" s="632"/>
      <c r="K94" s="632"/>
      <c r="L94" s="45"/>
    </row>
    <row r="95" spans="1:12" ht="18" customHeight="1" x14ac:dyDescent="0.25">
      <c r="A95" s="632"/>
      <c r="B95" s="1956" t="s">
        <v>1600</v>
      </c>
      <c r="C95" s="1957"/>
      <c r="D95" s="1957"/>
      <c r="E95" s="1957"/>
      <c r="F95" s="1957"/>
      <c r="G95" s="957" t="s">
        <v>77</v>
      </c>
      <c r="H95" s="958" t="s">
        <v>16</v>
      </c>
      <c r="I95" s="632"/>
      <c r="J95" s="632"/>
      <c r="K95" s="632"/>
      <c r="L95" s="45"/>
    </row>
    <row r="96" spans="1:12" ht="16.5" customHeight="1" x14ac:dyDescent="0.25">
      <c r="A96" s="632"/>
      <c r="B96" s="1958" t="s">
        <v>1614</v>
      </c>
      <c r="C96" s="1958"/>
      <c r="D96" s="1958"/>
      <c r="E96" s="1958"/>
      <c r="F96" s="1958"/>
      <c r="G96" s="54" t="str">
        <f>IF(G67="","No",IF(AND(G67="Yes",G73&lt;&gt;"No"),"Yes","No"))</f>
        <v>No</v>
      </c>
      <c r="H96" s="959">
        <f>IF(G96="Yes",2,0)</f>
        <v>0</v>
      </c>
      <c r="I96" s="632"/>
      <c r="J96" s="632"/>
      <c r="K96" s="632"/>
      <c r="L96" s="45"/>
    </row>
    <row r="97" spans="1:13" ht="16.5" customHeight="1" x14ac:dyDescent="0.25">
      <c r="A97" s="632"/>
      <c r="B97" s="1952" t="s">
        <v>1601</v>
      </c>
      <c r="C97" s="1952" t="s">
        <v>1602</v>
      </c>
      <c r="D97" s="1952" t="s">
        <v>1602</v>
      </c>
      <c r="E97" s="1952" t="s">
        <v>1602</v>
      </c>
      <c r="F97" s="1952" t="s">
        <v>1602</v>
      </c>
      <c r="G97" s="54" t="str">
        <f>IF(AND(G79="Yes",G79&lt;&gt;"No"),"Yes","No")</f>
        <v>No</v>
      </c>
      <c r="H97" s="960">
        <f>IF(G97="Yes",2,0)</f>
        <v>0</v>
      </c>
      <c r="I97" s="632"/>
      <c r="J97" s="632"/>
      <c r="K97" s="632"/>
      <c r="L97" s="45"/>
    </row>
    <row r="98" spans="1:13" ht="16.5" customHeight="1" x14ac:dyDescent="0.25">
      <c r="A98" s="632"/>
      <c r="B98" s="1952" t="s">
        <v>1603</v>
      </c>
      <c r="C98" s="1952" t="s">
        <v>1604</v>
      </c>
      <c r="D98" s="1952" t="s">
        <v>1604</v>
      </c>
      <c r="E98" s="1952" t="s">
        <v>1604</v>
      </c>
      <c r="F98" s="1952" t="s">
        <v>1604</v>
      </c>
      <c r="G98" s="54" t="str">
        <f>IF(G85="","No",G85)</f>
        <v>No</v>
      </c>
      <c r="H98" s="960">
        <f>IF(G98="Yes",1,0)</f>
        <v>0</v>
      </c>
      <c r="I98" s="632"/>
      <c r="J98" s="632"/>
      <c r="K98" s="632"/>
      <c r="L98" s="45"/>
    </row>
    <row r="99" spans="1:13" x14ac:dyDescent="0.25">
      <c r="A99" s="632"/>
      <c r="B99" s="632"/>
      <c r="C99" s="632"/>
      <c r="D99" s="632"/>
      <c r="E99" s="632"/>
      <c r="F99" s="632"/>
      <c r="G99" s="632"/>
      <c r="H99" s="632"/>
      <c r="I99" s="632"/>
      <c r="J99" s="632"/>
      <c r="K99" s="632"/>
      <c r="L99" s="46"/>
    </row>
    <row r="100" spans="1:13" ht="18" customHeight="1" x14ac:dyDescent="0.25">
      <c r="A100" s="632"/>
      <c r="B100" s="106" t="s">
        <v>16</v>
      </c>
      <c r="C100" s="8">
        <f>IF(D40="Prescriptive Path",SUM(H96:H98),"")</f>
        <v>0</v>
      </c>
      <c r="D100" s="632"/>
      <c r="E100" s="632"/>
      <c r="F100" s="632"/>
      <c r="G100" s="632"/>
      <c r="H100" s="632"/>
      <c r="I100" s="632"/>
      <c r="J100" s="632"/>
      <c r="K100" s="632"/>
      <c r="L100" s="46"/>
    </row>
    <row r="101" spans="1:13" ht="18" customHeight="1" x14ac:dyDescent="0.25">
      <c r="A101" s="632"/>
      <c r="B101" s="113" t="s">
        <v>133</v>
      </c>
      <c r="C101" s="8" t="str">
        <f>IF(D40="Prescriptive Path",IF(AND(COUNTIF(L90:L91,"Submitted")=2,C100&gt;0),"Yes","No"),"")</f>
        <v>No</v>
      </c>
      <c r="D101" s="632"/>
      <c r="E101" s="632"/>
      <c r="F101" s="632"/>
      <c r="G101" s="632"/>
      <c r="H101" s="632"/>
      <c r="I101" s="632"/>
      <c r="J101" s="632"/>
      <c r="K101" s="632"/>
      <c r="L101" s="46"/>
    </row>
    <row r="102" spans="1:13" s="633" customFormat="1" ht="15" customHeight="1" x14ac:dyDescent="0.25">
      <c r="A102" s="632"/>
      <c r="B102" s="632"/>
      <c r="C102" s="632"/>
      <c r="D102" s="632"/>
      <c r="E102" s="632"/>
      <c r="F102" s="632"/>
      <c r="G102" s="632"/>
      <c r="H102" s="632"/>
      <c r="I102" s="632"/>
      <c r="J102" s="632"/>
      <c r="K102" s="632"/>
      <c r="L102" s="35"/>
      <c r="M102" s="35"/>
    </row>
    <row r="103" spans="1:13" ht="18" customHeight="1" x14ac:dyDescent="0.25">
      <c r="A103" s="1909" t="s">
        <v>1591</v>
      </c>
      <c r="B103" s="1909"/>
      <c r="C103" s="1909"/>
      <c r="D103" s="1909"/>
      <c r="E103" s="1909"/>
      <c r="F103" s="1909"/>
      <c r="G103" s="1909"/>
      <c r="H103" s="1909"/>
      <c r="I103" s="1909"/>
      <c r="J103" s="1909"/>
      <c r="K103" s="1909"/>
    </row>
    <row r="104" spans="1:13" s="633" customFormat="1" ht="15" customHeight="1" x14ac:dyDescent="0.25">
      <c r="A104" s="632"/>
      <c r="B104" s="632"/>
      <c r="C104" s="632"/>
      <c r="D104" s="632"/>
      <c r="E104" s="632"/>
      <c r="F104" s="632"/>
      <c r="G104" s="632"/>
      <c r="H104" s="632"/>
      <c r="I104" s="632"/>
      <c r="J104" s="632"/>
      <c r="K104" s="632"/>
      <c r="L104" s="35"/>
      <c r="M104" s="35"/>
    </row>
    <row r="105" spans="1:13" ht="16.5" customHeight="1" x14ac:dyDescent="0.25">
      <c r="A105" s="1894" t="s">
        <v>102</v>
      </c>
      <c r="B105" s="1894"/>
      <c r="C105" s="1894"/>
      <c r="D105" s="632"/>
      <c r="E105" s="632"/>
      <c r="F105" s="632"/>
      <c r="G105" s="632"/>
      <c r="H105" s="632"/>
      <c r="I105" s="632"/>
      <c r="J105" s="632"/>
      <c r="K105" s="632"/>
    </row>
    <row r="106" spans="1:13" ht="15" customHeight="1" x14ac:dyDescent="0.25">
      <c r="A106" s="632"/>
      <c r="B106" s="632"/>
      <c r="C106" s="632"/>
      <c r="D106" s="632"/>
      <c r="E106" s="632"/>
      <c r="F106" s="632"/>
      <c r="G106" s="632"/>
      <c r="H106" s="632"/>
      <c r="I106" s="632"/>
      <c r="J106" s="632"/>
      <c r="K106" s="632"/>
    </row>
    <row r="107" spans="1:13" ht="15" customHeight="1" x14ac:dyDescent="0.25">
      <c r="A107" s="632"/>
      <c r="B107" s="638" t="s">
        <v>910</v>
      </c>
      <c r="C107" s="632"/>
      <c r="D107" s="632"/>
      <c r="E107" s="632"/>
      <c r="F107" s="632"/>
      <c r="G107" s="632"/>
      <c r="H107" s="632"/>
      <c r="I107" s="632"/>
      <c r="J107" s="632"/>
      <c r="K107" s="632"/>
    </row>
    <row r="108" spans="1:13" ht="15" customHeight="1" x14ac:dyDescent="0.25">
      <c r="A108" s="632"/>
      <c r="B108" s="632"/>
      <c r="C108" s="632"/>
      <c r="D108" s="632"/>
      <c r="E108" s="632"/>
      <c r="F108" s="632"/>
      <c r="G108" s="632"/>
      <c r="H108" s="632"/>
      <c r="I108" s="632"/>
      <c r="J108" s="632"/>
      <c r="K108" s="632"/>
    </row>
    <row r="109" spans="1:13" ht="16.5" customHeight="1" x14ac:dyDescent="0.25">
      <c r="A109" s="1894" t="s">
        <v>6</v>
      </c>
      <c r="B109" s="1894"/>
      <c r="C109" s="1894"/>
      <c r="D109" s="632"/>
      <c r="E109" s="632"/>
      <c r="F109" s="632"/>
      <c r="G109" s="632"/>
      <c r="H109" s="632"/>
      <c r="I109" s="632"/>
      <c r="J109" s="632"/>
      <c r="K109" s="632"/>
    </row>
    <row r="110" spans="1:13" x14ac:dyDescent="0.25">
      <c r="A110" s="632"/>
      <c r="B110" s="632"/>
      <c r="C110" s="632"/>
      <c r="D110" s="632"/>
      <c r="E110" s="632"/>
      <c r="F110" s="632"/>
      <c r="G110" s="632"/>
      <c r="H110" s="632"/>
      <c r="I110" s="632"/>
      <c r="J110" s="632"/>
      <c r="K110" s="632"/>
    </row>
    <row r="111" spans="1:13" x14ac:dyDescent="0.25">
      <c r="A111" s="632"/>
      <c r="B111" s="632" t="s">
        <v>1251</v>
      </c>
      <c r="C111" s="632"/>
      <c r="D111" s="632"/>
      <c r="E111" s="632"/>
      <c r="F111" s="632"/>
      <c r="G111" s="632"/>
      <c r="H111" s="632"/>
      <c r="I111" s="632"/>
      <c r="J111" s="632"/>
      <c r="K111" s="632"/>
    </row>
    <row r="112" spans="1:13" ht="21" customHeight="1" x14ac:dyDescent="0.25">
      <c r="A112" s="632"/>
      <c r="B112" s="1155" t="s">
        <v>1103</v>
      </c>
      <c r="C112" s="632"/>
      <c r="D112" s="632"/>
      <c r="E112" s="632"/>
      <c r="F112" s="632"/>
      <c r="G112" s="632"/>
      <c r="H112" s="632"/>
      <c r="I112" s="632"/>
      <c r="J112" s="632"/>
      <c r="K112" s="632"/>
    </row>
    <row r="113" spans="1:14" ht="22.5" customHeight="1" x14ac:dyDescent="0.25">
      <c r="A113" s="632"/>
      <c r="B113" s="1154" t="s">
        <v>1881</v>
      </c>
      <c r="C113" s="632"/>
      <c r="D113" s="632"/>
      <c r="E113" s="632"/>
      <c r="F113" s="632"/>
      <c r="G113" s="632"/>
      <c r="H113" s="632"/>
      <c r="I113" s="632"/>
      <c r="J113" s="632"/>
      <c r="K113" s="632"/>
    </row>
    <row r="114" spans="1:14" ht="16.5" customHeight="1" x14ac:dyDescent="0.25">
      <c r="A114" s="632"/>
      <c r="B114" s="725"/>
      <c r="C114" s="632"/>
      <c r="D114" s="632"/>
      <c r="E114" s="632"/>
      <c r="F114" s="632"/>
      <c r="G114" s="632"/>
      <c r="H114" s="632"/>
      <c r="I114" s="632"/>
      <c r="J114" s="632"/>
      <c r="K114" s="632"/>
    </row>
    <row r="115" spans="1:14" x14ac:dyDescent="0.25">
      <c r="A115" s="632"/>
      <c r="B115" s="725" t="s">
        <v>1164</v>
      </c>
      <c r="C115" s="632"/>
      <c r="D115" s="632"/>
      <c r="E115" s="632"/>
      <c r="F115" s="632"/>
      <c r="G115" s="632"/>
      <c r="H115" s="632"/>
      <c r="I115" s="632"/>
      <c r="J115" s="632"/>
      <c r="K115" s="632"/>
    </row>
    <row r="116" spans="1:14" ht="38.25" hidden="1" x14ac:dyDescent="0.25">
      <c r="A116" s="632"/>
      <c r="B116" s="632"/>
      <c r="C116" s="713" t="s">
        <v>1107</v>
      </c>
      <c r="D116" s="713" t="s">
        <v>1108</v>
      </c>
      <c r="E116" s="714" t="s">
        <v>1131</v>
      </c>
      <c r="F116" s="714" t="s">
        <v>1160</v>
      </c>
      <c r="G116" s="714" t="s">
        <v>1161</v>
      </c>
      <c r="H116" s="713" t="s">
        <v>1145</v>
      </c>
      <c r="I116" s="632"/>
      <c r="J116" s="632"/>
      <c r="K116" s="632"/>
    </row>
    <row r="117" spans="1:14" ht="19.5" hidden="1" customHeight="1" x14ac:dyDescent="0.25">
      <c r="A117" s="632"/>
      <c r="B117" s="64" t="s">
        <v>100</v>
      </c>
      <c r="C117" s="687"/>
      <c r="D117" s="687"/>
      <c r="E117" s="687"/>
      <c r="F117" s="687"/>
      <c r="G117" s="687"/>
      <c r="H117" s="687"/>
      <c r="I117" s="632"/>
      <c r="J117" s="632"/>
      <c r="K117" s="632"/>
      <c r="M117" s="1917" t="s">
        <v>1107</v>
      </c>
      <c r="N117" s="1917"/>
    </row>
    <row r="118" spans="1:14" hidden="1" x14ac:dyDescent="0.25">
      <c r="A118" s="632"/>
      <c r="B118" s="632"/>
      <c r="C118" s="632"/>
      <c r="D118" s="632"/>
      <c r="E118" s="632"/>
      <c r="F118" s="632"/>
      <c r="G118" s="632"/>
      <c r="H118" s="632"/>
      <c r="I118" s="632"/>
      <c r="J118" s="632"/>
      <c r="K118" s="632"/>
      <c r="M118" s="1918"/>
      <c r="N118" s="1918"/>
    </row>
    <row r="119" spans="1:14" ht="20.25" hidden="1" customHeight="1" x14ac:dyDescent="0.25">
      <c r="A119" s="632"/>
      <c r="B119" s="1919" t="s">
        <v>75</v>
      </c>
      <c r="C119" s="1920"/>
      <c r="D119" s="1921" t="s">
        <v>909</v>
      </c>
      <c r="E119" s="1921"/>
      <c r="F119" s="1921" t="s">
        <v>113</v>
      </c>
      <c r="G119" s="1921" t="s">
        <v>1162</v>
      </c>
      <c r="H119" s="1923" t="s">
        <v>1163</v>
      </c>
      <c r="I119" s="632"/>
      <c r="J119" s="632"/>
      <c r="K119" s="632"/>
      <c r="M119" s="1921" t="s">
        <v>1162</v>
      </c>
      <c r="N119" s="1923" t="s">
        <v>1163</v>
      </c>
    </row>
    <row r="120" spans="1:14" ht="20.25" hidden="1" customHeight="1" x14ac:dyDescent="0.25">
      <c r="A120" s="632"/>
      <c r="B120" s="634" t="s">
        <v>79</v>
      </c>
      <c r="C120" s="635" t="s">
        <v>72</v>
      </c>
      <c r="D120" s="1922"/>
      <c r="E120" s="1922"/>
      <c r="F120" s="1922"/>
      <c r="G120" s="1922"/>
      <c r="H120" s="1924"/>
      <c r="I120" s="632"/>
      <c r="J120" s="632"/>
      <c r="K120" s="632"/>
      <c r="M120" s="1922"/>
      <c r="N120" s="1924"/>
    </row>
    <row r="121" spans="1:14" hidden="1" x14ac:dyDescent="0.25">
      <c r="A121" s="632"/>
      <c r="B121" s="1907" t="s">
        <v>760</v>
      </c>
      <c r="C121" s="1907" t="s">
        <v>759</v>
      </c>
      <c r="D121" s="62" t="s">
        <v>73</v>
      </c>
      <c r="E121" s="100">
        <v>3</v>
      </c>
      <c r="F121" s="1907">
        <v>2</v>
      </c>
      <c r="G121" s="1915" t="e">
        <f>IF(OR(B121="",C121="",F121=""),"",IF(C121="Dual Flush",(E121*3+E122*1)*$C$117*F121/SUM(#REF!),E122*4*$C$117*F121/SUM(#REF!)))</f>
        <v>#REF!</v>
      </c>
      <c r="H121" s="1915" t="e">
        <f>IF(OR(B121="",C121="",F121=""),"",6*4*$C$117*F121/SUM(#REF!))</f>
        <v>#REF!</v>
      </c>
      <c r="I121" s="632"/>
      <c r="J121" s="632"/>
      <c r="K121" s="632"/>
      <c r="M121" s="1915" t="e">
        <f>IF(OR(B121="",C121="",F121=""),"",IF(C121="Dual Flush",(E121*3+E122*1)*$C$117*F121/SUM(#REF!),E122*4*$C$117*F121/SUM(#REF!)))</f>
        <v>#REF!</v>
      </c>
      <c r="N121" s="1915" t="e">
        <f>IF(OR(B121="",C121="",F121=""),"",6*4*$C$117*F121/SUM(#REF!))</f>
        <v>#REF!</v>
      </c>
    </row>
    <row r="122" spans="1:14" hidden="1" x14ac:dyDescent="0.25">
      <c r="A122" s="632"/>
      <c r="B122" s="1908"/>
      <c r="C122" s="1908"/>
      <c r="D122" s="62" t="s">
        <v>74</v>
      </c>
      <c r="E122" s="100">
        <v>4</v>
      </c>
      <c r="F122" s="1908"/>
      <c r="G122" s="1916"/>
      <c r="H122" s="1916"/>
      <c r="I122" s="632"/>
      <c r="J122" s="632"/>
      <c r="K122" s="632"/>
      <c r="M122" s="1916"/>
      <c r="N122" s="1916"/>
    </row>
    <row r="123" spans="1:14" hidden="1" x14ac:dyDescent="0.25">
      <c r="A123" s="632"/>
      <c r="B123" s="1907"/>
      <c r="C123" s="1907"/>
      <c r="D123" s="62" t="s">
        <v>73</v>
      </c>
      <c r="E123" s="100"/>
      <c r="F123" s="1907"/>
      <c r="G123" s="1915" t="str">
        <f>IF(OR(B123="",C123="",F123=""),"",IF(C123="Dual Flush",(E123*3+E124*1)*$C$117*F123/SUM(#REF!),E124*4*$C$117*F123/SUM(#REF!)))</f>
        <v/>
      </c>
      <c r="H123" s="1915" t="str">
        <f>IF(OR(B123="",C123="",F123=""),"",6*4*$C$117*F123/SUM(#REF!))</f>
        <v/>
      </c>
      <c r="I123" s="632"/>
      <c r="J123" s="632"/>
      <c r="K123" s="632"/>
      <c r="M123" s="1915" t="str">
        <f>IF(OR(B123="",C123="",F123=""),"",IF(C123="Dual Flush",(E123*3+E124*1)*$C$117*F123/SUM(#REF!),E124*4*$C$117*F123/SUM(#REF!)))</f>
        <v/>
      </c>
      <c r="N123" s="1915" t="str">
        <f>IF(OR(B123="",C123="",F123=""),"",6*4*$C$117*F123/SUM(#REF!))</f>
        <v/>
      </c>
    </row>
    <row r="124" spans="1:14" hidden="1" x14ac:dyDescent="0.25">
      <c r="A124" s="632"/>
      <c r="B124" s="1908"/>
      <c r="C124" s="1908"/>
      <c r="D124" s="62" t="s">
        <v>74</v>
      </c>
      <c r="E124" s="100"/>
      <c r="F124" s="1908"/>
      <c r="G124" s="1916"/>
      <c r="H124" s="1916"/>
      <c r="I124" s="632"/>
      <c r="J124" s="632"/>
      <c r="K124" s="632"/>
      <c r="M124" s="1916"/>
      <c r="N124" s="1916"/>
    </row>
    <row r="125" spans="1:14" hidden="1" x14ac:dyDescent="0.25">
      <c r="A125" s="632"/>
      <c r="B125" s="1905"/>
      <c r="C125" s="1907"/>
      <c r="D125" s="62" t="s">
        <v>73</v>
      </c>
      <c r="E125" s="100"/>
      <c r="F125" s="1907"/>
      <c r="G125" s="1915" t="str">
        <f>IF(OR(B125="",C125="",F125=""),"",IF(C125="Dual Flush",(E125*3+E126*1)*$C$117*F125/SUM(#REF!),E126*4*$C$117*F125/SUM(#REF!)))</f>
        <v/>
      </c>
      <c r="H125" s="1915" t="str">
        <f>IF(OR(B125="",C125="",F125=""),"",6*4*$C$117*F125/SUM(#REF!))</f>
        <v/>
      </c>
      <c r="I125" s="632"/>
      <c r="J125" s="632"/>
      <c r="K125" s="632"/>
      <c r="M125" s="1915" t="str">
        <f>IF(OR(B125="",C125="",F125=""),"",IF(C125="Dual Flush",(E125*3+E126*1)*$C$117*F125/SUM(#REF!),E126*4*$C$117*F125/SUM(#REF!)))</f>
        <v/>
      </c>
      <c r="N125" s="1915" t="str">
        <f>IF(OR(B125="",C125="",F125=""),"",6*4*$C$117*F125/SUM(#REF!))</f>
        <v/>
      </c>
    </row>
    <row r="126" spans="1:14" hidden="1" x14ac:dyDescent="0.25">
      <c r="A126" s="632"/>
      <c r="B126" s="1906"/>
      <c r="C126" s="1908"/>
      <c r="D126" s="62" t="s">
        <v>74</v>
      </c>
      <c r="E126" s="100"/>
      <c r="F126" s="1908"/>
      <c r="G126" s="1916"/>
      <c r="H126" s="1916"/>
      <c r="I126" s="632"/>
      <c r="J126" s="632"/>
      <c r="K126" s="632"/>
      <c r="M126" s="1916"/>
      <c r="N126" s="1916"/>
    </row>
    <row r="127" spans="1:14" hidden="1" x14ac:dyDescent="0.25">
      <c r="A127" s="632"/>
      <c r="B127" s="632"/>
      <c r="C127" s="632"/>
      <c r="D127" s="632"/>
      <c r="E127" s="632"/>
      <c r="F127" s="632"/>
      <c r="G127" s="551" t="e">
        <f>SUM(G121:G126)</f>
        <v>#REF!</v>
      </c>
      <c r="H127" s="551" t="e">
        <f>SUM(H121:H126)</f>
        <v>#REF!</v>
      </c>
      <c r="I127" s="632"/>
      <c r="J127" s="632"/>
      <c r="K127" s="632"/>
      <c r="M127" s="551" t="e">
        <f>SUM(M121:M126)</f>
        <v>#REF!</v>
      </c>
      <c r="N127" s="551" t="e">
        <f>SUM(N121:N126)</f>
        <v>#REF!</v>
      </c>
    </row>
    <row r="128" spans="1:14" ht="12" hidden="1" customHeight="1" x14ac:dyDescent="0.25">
      <c r="A128" s="632"/>
      <c r="B128" s="632"/>
      <c r="C128" s="632"/>
      <c r="D128" s="632"/>
      <c r="E128" s="632"/>
      <c r="F128" s="632"/>
      <c r="G128" s="632"/>
      <c r="H128" s="632"/>
      <c r="I128" s="632"/>
      <c r="J128" s="632"/>
      <c r="K128" s="632"/>
    </row>
    <row r="129" spans="1:11" ht="32.25" hidden="1" customHeight="1" x14ac:dyDescent="0.25">
      <c r="A129" s="632"/>
      <c r="B129" s="1927" t="s">
        <v>78</v>
      </c>
      <c r="C129" s="1928"/>
      <c r="D129" s="1914" t="s">
        <v>76</v>
      </c>
      <c r="E129" s="1914"/>
      <c r="F129" s="636" t="s">
        <v>113</v>
      </c>
      <c r="G129" s="636" t="s">
        <v>70</v>
      </c>
      <c r="H129" s="637" t="s">
        <v>71</v>
      </c>
      <c r="I129" s="632"/>
      <c r="J129" s="632"/>
      <c r="K129" s="632"/>
    </row>
    <row r="130" spans="1:11" hidden="1" x14ac:dyDescent="0.25">
      <c r="A130" s="632"/>
      <c r="B130" s="1903"/>
      <c r="C130" s="1904"/>
      <c r="D130" s="1903"/>
      <c r="E130" s="1904"/>
      <c r="F130" s="124"/>
      <c r="G130" s="125" t="str">
        <f>IF(OR(B130="",D130="",F130=""),"",D130*480*$C$117*F130/SUM(#REF!))</f>
        <v/>
      </c>
      <c r="H130" s="125" t="str">
        <f>IF(OR(B130="",D130="",F130=""),"",0.16*480*$C$117*F130/SUM(#REF!))</f>
        <v/>
      </c>
      <c r="I130" s="632"/>
      <c r="J130" s="632"/>
      <c r="K130" s="632"/>
    </row>
    <row r="131" spans="1:11" hidden="1" x14ac:dyDescent="0.25">
      <c r="A131" s="632"/>
      <c r="B131" s="1903"/>
      <c r="C131" s="1904"/>
      <c r="D131" s="1903"/>
      <c r="E131" s="1904"/>
      <c r="F131" s="124"/>
      <c r="G131" s="125" t="str">
        <f>IF(OR(B131="",D131="",F131=""),"",D131*480*$C$117*F131/SUM(#REF!))</f>
        <v/>
      </c>
      <c r="H131" s="125" t="str">
        <f>IF(OR(B131="",D131="",F131=""),"",0.16*480*$C$117*F131/SUM(#REF!))</f>
        <v/>
      </c>
      <c r="I131" s="632"/>
      <c r="J131" s="632"/>
      <c r="K131" s="632"/>
    </row>
    <row r="132" spans="1:11" hidden="1" x14ac:dyDescent="0.25">
      <c r="A132" s="632"/>
      <c r="B132" s="1903"/>
      <c r="C132" s="1904"/>
      <c r="D132" s="1903"/>
      <c r="E132" s="1904"/>
      <c r="F132" s="124"/>
      <c r="G132" s="125" t="str">
        <f>IF(OR(B132="",D132="",F132=""),"",D132*480*$C$117*F132/SUM(#REF!))</f>
        <v/>
      </c>
      <c r="H132" s="125" t="str">
        <f>IF(OR(B132="",D132="",F132=""),"",0.16*480*$C$117*F132/SUM(#REF!))</f>
        <v/>
      </c>
      <c r="I132" s="632"/>
      <c r="J132" s="632"/>
      <c r="K132" s="632"/>
    </row>
    <row r="133" spans="1:11" hidden="1" x14ac:dyDescent="0.25">
      <c r="A133" s="632"/>
      <c r="B133" s="632"/>
      <c r="C133" s="632"/>
      <c r="D133" s="632"/>
      <c r="E133" s="632"/>
      <c r="F133" s="632"/>
      <c r="G133" s="59">
        <f>SUM(G130:G132)</f>
        <v>0</v>
      </c>
      <c r="H133" s="59">
        <f>SUM(H130:H132)</f>
        <v>0</v>
      </c>
      <c r="I133" s="632"/>
      <c r="J133" s="632"/>
      <c r="K133" s="632"/>
    </row>
    <row r="134" spans="1:11" ht="12" hidden="1" customHeight="1" x14ac:dyDescent="0.25">
      <c r="A134" s="632"/>
      <c r="B134" s="632"/>
      <c r="C134" s="632"/>
      <c r="D134" s="632"/>
      <c r="E134" s="632"/>
      <c r="F134" s="632"/>
      <c r="G134" s="632"/>
      <c r="H134" s="632"/>
      <c r="I134" s="632"/>
      <c r="J134" s="632"/>
      <c r="K134" s="632"/>
    </row>
    <row r="135" spans="1:11" ht="35.25" hidden="1" customHeight="1" x14ac:dyDescent="0.25">
      <c r="A135" s="632"/>
      <c r="B135" s="1927" t="s">
        <v>81</v>
      </c>
      <c r="C135" s="1928"/>
      <c r="D135" s="1914" t="s">
        <v>76</v>
      </c>
      <c r="E135" s="1914"/>
      <c r="F135" s="636" t="s">
        <v>113</v>
      </c>
      <c r="G135" s="636" t="s">
        <v>70</v>
      </c>
      <c r="H135" s="637" t="s">
        <v>71</v>
      </c>
      <c r="I135" s="632"/>
      <c r="J135" s="632"/>
      <c r="K135" s="632"/>
    </row>
    <row r="136" spans="1:11" hidden="1" x14ac:dyDescent="0.25">
      <c r="A136" s="632"/>
      <c r="B136" s="1903"/>
      <c r="C136" s="1904"/>
      <c r="D136" s="1903"/>
      <c r="E136" s="1904"/>
      <c r="F136" s="124"/>
      <c r="G136" s="125" t="str">
        <f>IF(OR(B136="",D136="",F136=""),"",D136*60*$C$117*7*F136/SUM(#REF!))</f>
        <v/>
      </c>
      <c r="H136" s="125" t="str">
        <f>IF(OR(B136="",D136="",F136=""),"",0.14*60*$C$117*7*F136/SUM(#REF!))</f>
        <v/>
      </c>
      <c r="I136" s="632"/>
      <c r="J136" s="632"/>
      <c r="K136" s="632"/>
    </row>
    <row r="137" spans="1:11" hidden="1" x14ac:dyDescent="0.25">
      <c r="A137" s="632"/>
      <c r="B137" s="1903"/>
      <c r="C137" s="1904"/>
      <c r="D137" s="1903"/>
      <c r="E137" s="1904"/>
      <c r="F137" s="124"/>
      <c r="G137" s="125" t="str">
        <f>IF(OR(B137="",D137="",F137=""),"",D137*60*$C$117*7*F137/SUM(#REF!))</f>
        <v/>
      </c>
      <c r="H137" s="125" t="str">
        <f>IF(OR(B137="",D137="",F137=""),"",0.14*60*$C$117*7*F137/SUM(#REF!))</f>
        <v/>
      </c>
      <c r="I137" s="632"/>
      <c r="J137" s="632"/>
      <c r="K137" s="632"/>
    </row>
    <row r="138" spans="1:11" hidden="1" x14ac:dyDescent="0.25">
      <c r="A138" s="632"/>
      <c r="B138" s="1903"/>
      <c r="C138" s="1904"/>
      <c r="D138" s="1903"/>
      <c r="E138" s="1904"/>
      <c r="F138" s="124"/>
      <c r="G138" s="125" t="str">
        <f>IF(OR(B138="",D138="",F138=""),"",D138*60*$C$117*7*F138/SUM(#REF!))</f>
        <v/>
      </c>
      <c r="H138" s="125" t="str">
        <f>IF(OR(B138="",D138="",F138=""),"",0.14*60*$C$117*7*F138/SUM(#REF!))</f>
        <v/>
      </c>
      <c r="I138" s="632"/>
      <c r="J138" s="632"/>
      <c r="K138" s="632"/>
    </row>
    <row r="139" spans="1:11" ht="13.5" hidden="1" customHeight="1" x14ac:dyDescent="0.25">
      <c r="A139" s="632"/>
      <c r="B139" s="632"/>
      <c r="C139" s="632"/>
      <c r="D139" s="632"/>
      <c r="E139" s="632"/>
      <c r="F139" s="632"/>
      <c r="G139" s="59">
        <f>SUM(G136:G138)</f>
        <v>0</v>
      </c>
      <c r="H139" s="59">
        <f>SUM(H136:H138)</f>
        <v>0</v>
      </c>
      <c r="I139" s="632"/>
      <c r="J139" s="632"/>
      <c r="K139" s="632"/>
    </row>
    <row r="140" spans="1:11" ht="12" hidden="1" customHeight="1" x14ac:dyDescent="0.25">
      <c r="A140" s="632"/>
      <c r="B140" s="632"/>
      <c r="C140" s="632"/>
      <c r="D140" s="632"/>
      <c r="E140" s="632"/>
      <c r="F140" s="632"/>
      <c r="G140" s="632"/>
      <c r="H140" s="632"/>
      <c r="I140" s="632"/>
      <c r="J140" s="632"/>
      <c r="K140" s="632"/>
    </row>
    <row r="141" spans="1:11" ht="29.25" hidden="1" customHeight="1" x14ac:dyDescent="0.25">
      <c r="A141" s="632"/>
      <c r="B141" s="1927" t="s">
        <v>80</v>
      </c>
      <c r="C141" s="1928"/>
      <c r="D141" s="1914" t="s">
        <v>76</v>
      </c>
      <c r="E141" s="1914"/>
      <c r="F141" s="636" t="s">
        <v>113</v>
      </c>
      <c r="G141" s="636" t="s">
        <v>70</v>
      </c>
      <c r="H141" s="637" t="s">
        <v>71</v>
      </c>
      <c r="I141" s="632"/>
      <c r="J141" s="632"/>
      <c r="K141" s="632"/>
    </row>
    <row r="142" spans="1:11" hidden="1" x14ac:dyDescent="0.25">
      <c r="A142" s="632"/>
      <c r="B142" s="1903"/>
      <c r="C142" s="1904"/>
      <c r="D142" s="1903"/>
      <c r="E142" s="1904"/>
      <c r="F142" s="124"/>
      <c r="G142" s="125" t="str">
        <f>IF(OR(B142="",D142="",F142=""),"",D142*60*#REF!*4*F142/SUM(#REF!))</f>
        <v/>
      </c>
      <c r="H142" s="125" t="str">
        <f>IF(OR(B142="",D142="",F142=""),"",0.14*60*#REF!*4*F142/SUM(#REF!))</f>
        <v/>
      </c>
      <c r="I142" s="632"/>
      <c r="J142" s="632"/>
      <c r="K142" s="632"/>
    </row>
    <row r="143" spans="1:11" hidden="1" x14ac:dyDescent="0.25">
      <c r="A143" s="632"/>
      <c r="B143" s="1903"/>
      <c r="C143" s="1904"/>
      <c r="D143" s="1903"/>
      <c r="E143" s="1904"/>
      <c r="F143" s="124"/>
      <c r="G143" s="125" t="str">
        <f>IF(OR(B143="",D143="",F143=""),"",D143*60*#REF!*4*F143/SUM(#REF!))</f>
        <v/>
      </c>
      <c r="H143" s="125" t="str">
        <f>IF(OR(B143="",D143="",F143=""),"",0.14*60*#REF!*4*F143/SUM(#REF!))</f>
        <v/>
      </c>
      <c r="I143" s="632"/>
      <c r="J143" s="632"/>
      <c r="K143" s="632"/>
    </row>
    <row r="144" spans="1:11" hidden="1" x14ac:dyDescent="0.25">
      <c r="A144" s="632"/>
      <c r="B144" s="618"/>
      <c r="C144" s="619"/>
      <c r="D144" s="618"/>
      <c r="E144" s="619"/>
      <c r="F144" s="617"/>
      <c r="G144" s="616"/>
      <c r="H144" s="616"/>
      <c r="I144" s="632"/>
      <c r="J144" s="632"/>
      <c r="K144" s="632"/>
    </row>
    <row r="145" spans="1:12" hidden="1" x14ac:dyDescent="0.25">
      <c r="A145" s="632"/>
      <c r="B145" s="1903"/>
      <c r="C145" s="1904"/>
      <c r="D145" s="1903"/>
      <c r="E145" s="1904"/>
      <c r="F145" s="124"/>
      <c r="G145" s="125" t="str">
        <f>IF(OR(B145="",D145="",F145=""),"",D145*60*#REF!*4*F145/SUM(#REF!))</f>
        <v/>
      </c>
      <c r="H145" s="125" t="str">
        <f>IF(OR(B145="",D145="",F145=""),"",0.14*60*#REF!*4*F145/SUM(#REF!))</f>
        <v/>
      </c>
      <c r="I145" s="632"/>
      <c r="J145" s="632"/>
      <c r="K145" s="632"/>
    </row>
    <row r="146" spans="1:12" hidden="1" x14ac:dyDescent="0.25">
      <c r="A146" s="632"/>
      <c r="B146" s="632"/>
      <c r="C146" s="632"/>
      <c r="D146" s="632"/>
      <c r="E146" s="632"/>
      <c r="F146" s="632"/>
      <c r="G146" s="59">
        <f>SUM(G142:G145)</f>
        <v>0</v>
      </c>
      <c r="H146" s="59">
        <f>SUM(H142:H145)</f>
        <v>0</v>
      </c>
      <c r="I146" s="632"/>
      <c r="J146" s="632"/>
      <c r="K146" s="632"/>
    </row>
    <row r="147" spans="1:12" ht="17.25" customHeight="1" x14ac:dyDescent="0.25">
      <c r="A147" s="632"/>
      <c r="B147" s="632"/>
      <c r="C147" s="632"/>
      <c r="D147" s="632"/>
      <c r="E147" s="632"/>
      <c r="F147" s="632"/>
      <c r="G147" s="631"/>
      <c r="H147" s="631"/>
      <c r="I147" s="632"/>
      <c r="J147" s="632"/>
      <c r="K147" s="632"/>
    </row>
    <row r="148" spans="1:12" ht="16.5" customHeight="1" x14ac:dyDescent="0.25">
      <c r="A148" s="631"/>
      <c r="B148" s="1930" t="s">
        <v>114</v>
      </c>
      <c r="C148" s="1930"/>
      <c r="D148" s="755"/>
      <c r="E148" s="631"/>
      <c r="F148" s="631"/>
      <c r="G148" s="631"/>
      <c r="H148" s="631"/>
      <c r="I148" s="631"/>
      <c r="J148" s="631"/>
      <c r="K148" s="631"/>
    </row>
    <row r="149" spans="1:12" ht="16.5" customHeight="1" x14ac:dyDescent="0.25">
      <c r="A149" s="631"/>
      <c r="B149" s="1930" t="s">
        <v>115</v>
      </c>
      <c r="C149" s="1930"/>
      <c r="D149" s="755"/>
      <c r="E149" s="631"/>
      <c r="F149" s="631"/>
      <c r="G149" s="631"/>
      <c r="H149" s="631"/>
      <c r="I149" s="631"/>
      <c r="J149" s="631"/>
      <c r="K149" s="631"/>
    </row>
    <row r="150" spans="1:12" x14ac:dyDescent="0.25">
      <c r="A150" s="632"/>
      <c r="B150" s="632"/>
      <c r="C150" s="632"/>
      <c r="D150" s="632"/>
      <c r="E150" s="631"/>
      <c r="F150" s="631"/>
      <c r="G150" s="631"/>
      <c r="H150" s="631"/>
      <c r="I150" s="631"/>
      <c r="J150" s="631"/>
      <c r="K150" s="631"/>
    </row>
    <row r="151" spans="1:12" ht="18.75" customHeight="1" x14ac:dyDescent="0.25">
      <c r="A151" s="631"/>
      <c r="B151" s="1896" t="s">
        <v>199</v>
      </c>
      <c r="C151" s="1896"/>
      <c r="D151" s="1896"/>
      <c r="E151" s="60">
        <f>IF(OR(D148=0,D149=0),0,1-D148/D149)</f>
        <v>0</v>
      </c>
      <c r="F151" s="1332" t="str">
        <f>IFERROR(IF(E151&gt;=0.5,"→ One EP-1 point can be targeted",""),"")</f>
        <v/>
      </c>
      <c r="G151" s="631"/>
      <c r="H151" s="631"/>
      <c r="I151" s="631"/>
      <c r="J151" s="631"/>
      <c r="K151" s="631"/>
    </row>
    <row r="152" spans="1:12" ht="19.5" customHeight="1" x14ac:dyDescent="0.25">
      <c r="A152" s="632"/>
      <c r="B152" s="632"/>
      <c r="C152" s="632"/>
      <c r="D152" s="632"/>
      <c r="E152" s="632"/>
      <c r="F152" s="632"/>
      <c r="G152" s="632"/>
      <c r="H152" s="632"/>
      <c r="I152" s="632"/>
      <c r="J152" s="632"/>
      <c r="K152" s="632"/>
    </row>
    <row r="153" spans="1:12" ht="16.5" customHeight="1" x14ac:dyDescent="0.25">
      <c r="A153" s="1894" t="s">
        <v>84</v>
      </c>
      <c r="B153" s="1894"/>
      <c r="C153" s="1894"/>
      <c r="D153" s="632"/>
      <c r="E153" s="632"/>
      <c r="F153" s="632"/>
      <c r="G153" s="632"/>
      <c r="H153" s="632"/>
      <c r="I153" s="632"/>
      <c r="J153" s="632"/>
      <c r="K153" s="632"/>
    </row>
    <row r="154" spans="1:12" ht="15" customHeight="1" x14ac:dyDescent="0.25">
      <c r="A154" s="631"/>
      <c r="B154" s="631"/>
      <c r="C154" s="631"/>
      <c r="D154" s="631"/>
      <c r="E154" s="631"/>
      <c r="F154" s="631"/>
      <c r="G154" s="631"/>
      <c r="H154" s="631"/>
      <c r="I154" s="631"/>
      <c r="J154" s="631"/>
      <c r="K154" s="631"/>
    </row>
    <row r="155" spans="1:12" ht="21" customHeight="1" x14ac:dyDescent="0.25">
      <c r="A155" s="631"/>
      <c r="B155" s="1897" t="s">
        <v>85</v>
      </c>
      <c r="C155" s="1898"/>
      <c r="D155" s="1898"/>
      <c r="E155" s="1898"/>
      <c r="F155" s="1898"/>
      <c r="G155" s="935" t="s">
        <v>907</v>
      </c>
      <c r="H155" s="1899" t="s">
        <v>908</v>
      </c>
      <c r="I155" s="1931"/>
      <c r="J155" s="631"/>
      <c r="K155" s="631"/>
    </row>
    <row r="156" spans="1:12" ht="30" customHeight="1" x14ac:dyDescent="0.25">
      <c r="A156" s="631"/>
      <c r="B156" s="1648" t="str">
        <f>Submittals!G48</f>
        <v>• For each water fixture installed, evidence showing the water usage of the fixture (flowrate or flush size) such as manufacturer's data, inventory report from a facility audit or test measurements results.</v>
      </c>
      <c r="C156" s="1649"/>
      <c r="D156" s="1649"/>
      <c r="E156" s="1649"/>
      <c r="F156" s="1649"/>
      <c r="G156" s="929" t="s">
        <v>53</v>
      </c>
      <c r="H156" s="1689"/>
      <c r="I156" s="1736"/>
      <c r="J156" s="631"/>
      <c r="K156" s="632"/>
      <c r="L156" s="35" t="str">
        <f>IF(OR(B156="/",B156="No evidence required at this submission stage"),"Yes",IF(G156="Submitted","Yes","No"))</f>
        <v>No</v>
      </c>
    </row>
    <row r="157" spans="1:12" ht="30" customHeight="1" x14ac:dyDescent="0.25">
      <c r="A157" s="631"/>
      <c r="B157" s="1648" t="str">
        <f>Submittals!G49</f>
        <v>• Evidence that the water fixtures are installed such as photographs, receipts, inventory report from a facility audit, etc.</v>
      </c>
      <c r="C157" s="1649"/>
      <c r="D157" s="1649"/>
      <c r="E157" s="1649"/>
      <c r="F157" s="1649"/>
      <c r="G157" s="652" t="s">
        <v>53</v>
      </c>
      <c r="H157" s="1689"/>
      <c r="I157" s="1736"/>
      <c r="J157" s="631"/>
      <c r="K157" s="631"/>
      <c r="L157" s="35" t="str">
        <f t="shared" ref="L157" si="3">IF(OR(B157="/",B157="No evidence required at this submission stage"),"Yes",IF(G157="Submitted","Yes","No"))</f>
        <v>No</v>
      </c>
    </row>
    <row r="158" spans="1:12" ht="24" hidden="1" customHeight="1" x14ac:dyDescent="0.25">
      <c r="A158" s="631"/>
      <c r="B158" s="1648" t="str">
        <f>Submittals!G50</f>
        <v>/</v>
      </c>
      <c r="C158" s="1649"/>
      <c r="D158" s="1649"/>
      <c r="E158" s="1649"/>
      <c r="F158" s="1649"/>
      <c r="G158" s="652" t="s">
        <v>53</v>
      </c>
      <c r="H158" s="1689"/>
      <c r="I158" s="1736"/>
      <c r="J158" s="631"/>
      <c r="K158" s="631"/>
    </row>
    <row r="159" spans="1:12" x14ac:dyDescent="0.25">
      <c r="A159" s="631"/>
      <c r="B159" s="325"/>
      <c r="C159" s="631"/>
      <c r="D159" s="631"/>
      <c r="E159" s="631"/>
      <c r="F159" s="631"/>
      <c r="G159" s="631"/>
      <c r="H159" s="631"/>
      <c r="I159" s="631"/>
      <c r="J159" s="631"/>
      <c r="K159" s="631"/>
    </row>
    <row r="160" spans="1:12" ht="16.5" customHeight="1" x14ac:dyDescent="0.25">
      <c r="A160" s="1894" t="s">
        <v>5</v>
      </c>
      <c r="B160" s="1894"/>
      <c r="C160" s="1894"/>
      <c r="D160" s="631"/>
      <c r="E160" s="631"/>
      <c r="F160" s="631"/>
      <c r="G160" s="631"/>
      <c r="H160" s="631"/>
      <c r="I160" s="631"/>
      <c r="J160" s="631"/>
      <c r="K160" s="631"/>
    </row>
    <row r="161" spans="1:11" ht="16.5" customHeight="1" x14ac:dyDescent="0.25">
      <c r="A161" s="631"/>
      <c r="B161" s="325"/>
      <c r="C161" s="325"/>
      <c r="D161" s="325"/>
      <c r="E161" s="325"/>
      <c r="F161" s="325"/>
      <c r="G161" s="325"/>
      <c r="H161" s="325"/>
      <c r="I161" s="325"/>
      <c r="J161" s="325"/>
      <c r="K161" s="325"/>
    </row>
    <row r="162" spans="1:11" ht="18" customHeight="1" x14ac:dyDescent="0.25">
      <c r="A162" s="631"/>
      <c r="B162" s="106" t="s">
        <v>16</v>
      </c>
      <c r="C162" s="8">
        <f>IF(F13="No",0,IF(E151&gt;=0.4,5,IF(E151&gt;=0.35,4,IF(E151&gt;=0.3,3,IF(E151&gt;=0.25,2,IF(E151&gt;=0.2,1,0))))))</f>
        <v>0</v>
      </c>
      <c r="D162" s="631"/>
      <c r="E162" s="631"/>
      <c r="F162" s="631"/>
      <c r="G162" s="631"/>
      <c r="H162" s="631"/>
      <c r="I162" s="631"/>
      <c r="J162" s="631"/>
      <c r="K162" s="631"/>
    </row>
    <row r="163" spans="1:11" ht="18" customHeight="1" collapsed="1" x14ac:dyDescent="0.25">
      <c r="A163" s="631"/>
      <c r="B163" s="113" t="s">
        <v>133</v>
      </c>
      <c r="C163" s="8" t="str">
        <f>IF(F13="No","No",IF(AND(COUNTIF(L156:L157,"Yes")=2,C162&gt;0),"Yes","No"))</f>
        <v>No</v>
      </c>
      <c r="D163" s="631"/>
      <c r="E163" s="631"/>
      <c r="F163" s="631"/>
      <c r="G163" s="631"/>
      <c r="H163" s="631"/>
      <c r="I163" s="631"/>
      <c r="J163" s="631"/>
      <c r="K163" s="631"/>
    </row>
    <row r="164" spans="1:11" ht="19.5" customHeight="1" x14ac:dyDescent="0.25">
      <c r="A164" s="631"/>
      <c r="B164" s="325"/>
      <c r="C164" s="325"/>
      <c r="D164" s="325"/>
      <c r="E164" s="325"/>
      <c r="F164" s="325"/>
      <c r="G164" s="325"/>
      <c r="H164" s="325"/>
      <c r="I164" s="325"/>
      <c r="J164" s="325"/>
      <c r="K164" s="325"/>
    </row>
    <row r="165" spans="1:11" ht="18" customHeight="1" x14ac:dyDescent="0.25">
      <c r="A165" s="1909" t="s">
        <v>972</v>
      </c>
      <c r="B165" s="1909"/>
      <c r="C165" s="1909"/>
      <c r="D165" s="1909"/>
      <c r="E165" s="1909"/>
      <c r="F165" s="1909"/>
      <c r="G165" s="1909"/>
      <c r="H165" s="1909"/>
      <c r="I165" s="1909"/>
      <c r="J165" s="1909"/>
      <c r="K165" s="1909"/>
    </row>
    <row r="166" spans="1:11" ht="15" customHeight="1" x14ac:dyDescent="0.25">
      <c r="A166" s="632"/>
      <c r="B166" s="632"/>
      <c r="C166" s="632"/>
      <c r="D166" s="632"/>
      <c r="E166" s="632"/>
      <c r="F166" s="632"/>
      <c r="G166" s="632"/>
      <c r="H166" s="632"/>
      <c r="I166" s="632"/>
      <c r="J166" s="632"/>
      <c r="K166" s="632"/>
    </row>
    <row r="167" spans="1:11" ht="17.25" customHeight="1" x14ac:dyDescent="0.25">
      <c r="A167" s="151" t="s">
        <v>102</v>
      </c>
      <c r="B167" s="55"/>
      <c r="C167" s="55"/>
      <c r="D167" s="632"/>
      <c r="E167" s="632"/>
      <c r="F167" s="632"/>
      <c r="G167" s="632"/>
      <c r="H167" s="632"/>
      <c r="I167" s="632"/>
      <c r="J167" s="632"/>
      <c r="K167" s="632"/>
    </row>
    <row r="168" spans="1:11" x14ac:dyDescent="0.25">
      <c r="A168" s="632"/>
      <c r="B168" s="632"/>
      <c r="C168" s="632"/>
      <c r="D168" s="632"/>
      <c r="E168" s="632"/>
      <c r="F168" s="632"/>
      <c r="G168" s="632"/>
      <c r="H168" s="632"/>
      <c r="I168" s="632"/>
      <c r="J168" s="632"/>
      <c r="K168" s="632"/>
    </row>
    <row r="169" spans="1:11" ht="26.25" customHeight="1" x14ac:dyDescent="0.25">
      <c r="A169" s="632"/>
      <c r="B169" s="1932" t="s">
        <v>1253</v>
      </c>
      <c r="C169" s="1932"/>
      <c r="D169" s="1932"/>
      <c r="E169" s="1932"/>
      <c r="F169" s="1932"/>
      <c r="G169" s="1932"/>
      <c r="H169" s="1932"/>
      <c r="I169" s="1932"/>
      <c r="J169" s="1932"/>
      <c r="K169" s="325"/>
    </row>
    <row r="170" spans="1:11" x14ac:dyDescent="0.25">
      <c r="A170" s="632"/>
      <c r="B170" s="688"/>
      <c r="C170" s="688"/>
      <c r="D170" s="688"/>
      <c r="E170" s="688"/>
      <c r="F170" s="688"/>
      <c r="G170" s="688"/>
      <c r="H170" s="688"/>
      <c r="I170" s="688"/>
      <c r="J170" s="688"/>
      <c r="K170" s="325"/>
    </row>
    <row r="171" spans="1:11" x14ac:dyDescent="0.25">
      <c r="A171" s="632"/>
      <c r="B171" s="744" t="s">
        <v>280</v>
      </c>
      <c r="C171" s="415"/>
      <c r="D171" s="415"/>
      <c r="E171" s="416"/>
      <c r="F171" s="325"/>
      <c r="G171" s="325"/>
      <c r="H171" s="325"/>
      <c r="I171" s="325"/>
      <c r="J171" s="325"/>
      <c r="K171" s="325"/>
    </row>
    <row r="172" spans="1:11" x14ac:dyDescent="0.25">
      <c r="A172" s="632"/>
      <c r="B172" s="745" t="s">
        <v>281</v>
      </c>
      <c r="C172" s="417"/>
      <c r="D172" s="417"/>
      <c r="E172" s="418"/>
      <c r="F172" s="325"/>
      <c r="G172" s="325"/>
      <c r="H172" s="325"/>
      <c r="I172" s="325"/>
      <c r="J172" s="325"/>
      <c r="K172" s="325"/>
    </row>
    <row r="173" spans="1:11" x14ac:dyDescent="0.25">
      <c r="A173" s="632"/>
      <c r="B173" s="746" t="s">
        <v>1513</v>
      </c>
      <c r="C173" s="419"/>
      <c r="D173" s="419"/>
      <c r="E173" s="420"/>
      <c r="F173" s="325"/>
      <c r="G173" s="325"/>
      <c r="H173" s="325"/>
      <c r="I173" s="325"/>
      <c r="J173" s="325"/>
      <c r="K173" s="325"/>
    </row>
    <row r="174" spans="1:11" x14ac:dyDescent="0.25">
      <c r="A174" s="632"/>
      <c r="B174" s="325"/>
      <c r="C174" s="325"/>
      <c r="D174" s="325"/>
      <c r="E174" s="325"/>
      <c r="F174" s="325"/>
      <c r="G174" s="325"/>
      <c r="H174" s="325"/>
      <c r="I174" s="325"/>
      <c r="J174" s="325"/>
      <c r="K174" s="325"/>
    </row>
    <row r="175" spans="1:11" x14ac:dyDescent="0.25">
      <c r="A175" s="632"/>
      <c r="B175" s="725" t="s">
        <v>1445</v>
      </c>
      <c r="C175" s="325"/>
      <c r="D175" s="325"/>
      <c r="E175" s="325"/>
      <c r="F175" s="325"/>
      <c r="G175" s="325"/>
      <c r="H175" s="325"/>
      <c r="I175" s="325"/>
      <c r="J175" s="325"/>
      <c r="K175" s="325"/>
    </row>
    <row r="176" spans="1:11" x14ac:dyDescent="0.25">
      <c r="A176" s="325"/>
      <c r="B176" s="325"/>
      <c r="C176" s="325"/>
      <c r="D176" s="325"/>
      <c r="E176" s="325"/>
      <c r="F176" s="325"/>
      <c r="G176" s="325"/>
      <c r="H176" s="325"/>
      <c r="I176" s="325"/>
      <c r="J176" s="325"/>
      <c r="K176" s="325"/>
    </row>
    <row r="177" spans="1:12" ht="18" customHeight="1" x14ac:dyDescent="0.25">
      <c r="A177" s="325"/>
      <c r="B177" s="1911" t="str">
        <f>IF('Project information'!C7="Certification stage","• Have some water fixtures of the base building been replaced or altered?","• Will some water fixtures of the base building be replaced or altered?")</f>
        <v>• Have some water fixtures of the base building been replaced or altered?</v>
      </c>
      <c r="C177" s="1912"/>
      <c r="D177" s="1912"/>
      <c r="E177" s="1913"/>
      <c r="F177" s="733" t="s">
        <v>53</v>
      </c>
      <c r="G177" s="325"/>
      <c r="H177" s="325"/>
      <c r="I177" s="325"/>
      <c r="J177" s="325"/>
      <c r="K177" s="325"/>
    </row>
    <row r="178" spans="1:12" x14ac:dyDescent="0.25">
      <c r="A178" s="325"/>
      <c r="B178" s="325"/>
      <c r="C178" s="325"/>
      <c r="D178" s="325"/>
      <c r="E178" s="325"/>
      <c r="F178" s="325"/>
      <c r="G178" s="325"/>
      <c r="H178" s="325"/>
      <c r="I178" s="325"/>
      <c r="J178" s="325"/>
      <c r="K178" s="325"/>
    </row>
    <row r="179" spans="1:12" ht="26.25" customHeight="1" x14ac:dyDescent="0.25">
      <c r="A179" s="325"/>
      <c r="B179" s="756" t="s">
        <v>1166</v>
      </c>
      <c r="C179" s="1910" t="str">
        <f>IF('Project information'!C7="Certification stage","Water usage of the previous fixture","Water usage of the existing fixture")</f>
        <v>Water usage of the previous fixture</v>
      </c>
      <c r="D179" s="1910"/>
      <c r="E179" s="1910" t="str">
        <f>IF('Project information'!C7="Certification stage","Water usage of the new fixture","Water usage of the proposed fixture")</f>
        <v>Water usage of the new fixture</v>
      </c>
      <c r="F179" s="1910"/>
      <c r="G179" s="1910" t="s">
        <v>12</v>
      </c>
      <c r="H179" s="1892"/>
      <c r="I179" s="325"/>
      <c r="J179" s="325"/>
      <c r="K179" s="325"/>
    </row>
    <row r="180" spans="1:12" x14ac:dyDescent="0.25">
      <c r="A180" s="325"/>
      <c r="B180" s="755" t="s">
        <v>53</v>
      </c>
      <c r="C180" s="734"/>
      <c r="D180" s="758" t="str">
        <f>IF(OR($B180="Water-closet",$B180="Urinal"),"Litres per flush",IF(AND($B180&lt;&gt;"Select",$B180&lt;&gt;"Other"),"Litres per second",""))</f>
        <v/>
      </c>
      <c r="E180" s="734"/>
      <c r="F180" s="758" t="str">
        <f>IF(OR($B180="Water-closet",$B180="Urinal"),"Litres per flush",IF(AND($B180&lt;&gt;"Select",$B180&lt;&gt;"Other"),"Litres per second",""))</f>
        <v/>
      </c>
      <c r="G180" s="1925"/>
      <c r="H180" s="1926"/>
      <c r="I180" s="325"/>
      <c r="J180" s="325"/>
      <c r="K180" s="325"/>
      <c r="L180" s="35" t="str">
        <f>IF(B180="Select","/",IF(AND(E180="",C180=""),"/",IF(E180&lt;C180,"Yes","No")))</f>
        <v>/</v>
      </c>
    </row>
    <row r="181" spans="1:12" x14ac:dyDescent="0.25">
      <c r="A181" s="325"/>
      <c r="B181" s="755" t="s">
        <v>53</v>
      </c>
      <c r="C181" s="734"/>
      <c r="D181" s="758" t="str">
        <f t="shared" ref="D181:F184" si="4">IF(OR($B181="Water-closet",$B181="Urinal"),"Litres per flush",IF(AND($B181&lt;&gt;"Select",$B181&lt;&gt;"Other"),"Litres per second",""))</f>
        <v/>
      </c>
      <c r="E181" s="734"/>
      <c r="F181" s="758" t="str">
        <f t="shared" si="4"/>
        <v/>
      </c>
      <c r="G181" s="1925"/>
      <c r="H181" s="1926"/>
      <c r="I181" s="325"/>
      <c r="J181" s="325"/>
      <c r="K181" s="325"/>
      <c r="L181" s="35" t="str">
        <f t="shared" ref="L181:L184" si="5">IF(B181="Select","/",IF(AND(E181="",C181=""),"/",IF(E181&lt;C181,"Yes","No")))</f>
        <v>/</v>
      </c>
    </row>
    <row r="182" spans="1:12" x14ac:dyDescent="0.25">
      <c r="A182" s="325"/>
      <c r="B182" s="755" t="s">
        <v>53</v>
      </c>
      <c r="C182" s="734"/>
      <c r="D182" s="758" t="str">
        <f t="shared" si="4"/>
        <v/>
      </c>
      <c r="E182" s="734"/>
      <c r="F182" s="758" t="str">
        <f t="shared" si="4"/>
        <v/>
      </c>
      <c r="G182" s="1925"/>
      <c r="H182" s="1926"/>
      <c r="I182" s="325"/>
      <c r="J182" s="325"/>
      <c r="K182" s="325"/>
      <c r="L182" s="35" t="str">
        <f t="shared" si="5"/>
        <v>/</v>
      </c>
    </row>
    <row r="183" spans="1:12" x14ac:dyDescent="0.25">
      <c r="A183" s="325"/>
      <c r="B183" s="755" t="s">
        <v>53</v>
      </c>
      <c r="C183" s="734"/>
      <c r="D183" s="758" t="str">
        <f t="shared" si="4"/>
        <v/>
      </c>
      <c r="E183" s="734"/>
      <c r="F183" s="758" t="str">
        <f t="shared" si="4"/>
        <v/>
      </c>
      <c r="G183" s="1925"/>
      <c r="H183" s="1926"/>
      <c r="I183" s="325"/>
      <c r="J183" s="325"/>
      <c r="K183" s="325"/>
      <c r="L183" s="35" t="str">
        <f t="shared" si="5"/>
        <v>/</v>
      </c>
    </row>
    <row r="184" spans="1:12" x14ac:dyDescent="0.25">
      <c r="A184" s="325"/>
      <c r="B184" s="755" t="s">
        <v>53</v>
      </c>
      <c r="C184" s="734"/>
      <c r="D184" s="758" t="str">
        <f t="shared" si="4"/>
        <v/>
      </c>
      <c r="E184" s="734"/>
      <c r="F184" s="758" t="str">
        <f t="shared" si="4"/>
        <v/>
      </c>
      <c r="G184" s="1925"/>
      <c r="H184" s="1926"/>
      <c r="I184" s="325"/>
      <c r="J184" s="325"/>
      <c r="K184" s="325"/>
      <c r="L184" s="35" t="str">
        <f t="shared" si="5"/>
        <v>/</v>
      </c>
    </row>
    <row r="185" spans="1:12" ht="17.25" customHeight="1" x14ac:dyDescent="0.25">
      <c r="A185" s="325"/>
      <c r="B185" s="325"/>
      <c r="C185" s="325"/>
      <c r="D185" s="325"/>
      <c r="E185" s="325"/>
      <c r="F185" s="325"/>
      <c r="G185" s="325"/>
      <c r="H185" s="325"/>
      <c r="I185" s="325"/>
      <c r="J185" s="325"/>
      <c r="K185" s="325"/>
    </row>
    <row r="186" spans="1:12" ht="18" customHeight="1" x14ac:dyDescent="0.25">
      <c r="A186" s="325"/>
      <c r="B186" s="1896" t="s">
        <v>1254</v>
      </c>
      <c r="C186" s="1896"/>
      <c r="D186" s="1896"/>
      <c r="E186" s="60" t="str">
        <f>IF(AND(COUNTIF(L180:L184,"No")=0,COUNTIF(L180:L184,"Yes")&gt;0),"Yes","No")</f>
        <v>No</v>
      </c>
      <c r="F186" s="325"/>
      <c r="G186" s="325"/>
      <c r="H186" s="325"/>
      <c r="I186" s="325"/>
      <c r="J186" s="325"/>
      <c r="K186" s="325"/>
    </row>
    <row r="187" spans="1:12" ht="19.5" customHeight="1" x14ac:dyDescent="0.25">
      <c r="A187" s="325"/>
      <c r="B187" s="325"/>
      <c r="C187" s="325"/>
      <c r="D187" s="325"/>
      <c r="E187" s="325"/>
      <c r="F187" s="325"/>
      <c r="G187" s="325"/>
      <c r="H187" s="325"/>
      <c r="I187" s="325"/>
      <c r="J187" s="325"/>
      <c r="K187" s="325"/>
    </row>
    <row r="188" spans="1:12" ht="16.5" customHeight="1" x14ac:dyDescent="0.25">
      <c r="A188" s="151" t="s">
        <v>84</v>
      </c>
      <c r="B188" s="55"/>
      <c r="C188" s="55"/>
      <c r="D188" s="632"/>
      <c r="E188" s="632"/>
      <c r="F188" s="632"/>
      <c r="G188" s="632"/>
      <c r="H188" s="632"/>
      <c r="I188" s="632"/>
      <c r="J188" s="632"/>
      <c r="K188" s="632"/>
    </row>
    <row r="189" spans="1:12" ht="16.5" customHeight="1" x14ac:dyDescent="0.25">
      <c r="A189" s="631"/>
      <c r="B189" s="325"/>
      <c r="C189" s="325"/>
      <c r="D189" s="325"/>
      <c r="E189" s="325"/>
      <c r="F189" s="325"/>
      <c r="G189" s="325"/>
      <c r="H189" s="325"/>
      <c r="I189" s="631"/>
      <c r="J189" s="631"/>
      <c r="K189" s="631"/>
    </row>
    <row r="190" spans="1:12" ht="21" customHeight="1" x14ac:dyDescent="0.25">
      <c r="A190" s="631"/>
      <c r="B190" s="1897" t="s">
        <v>85</v>
      </c>
      <c r="C190" s="1898"/>
      <c r="D190" s="1898"/>
      <c r="E190" s="1898"/>
      <c r="F190" s="1898"/>
      <c r="G190" s="666" t="s">
        <v>907</v>
      </c>
      <c r="H190" s="1899" t="s">
        <v>908</v>
      </c>
      <c r="I190" s="1899"/>
      <c r="J190" s="631"/>
      <c r="K190" s="631"/>
    </row>
    <row r="191" spans="1:12" ht="51.75" customHeight="1" x14ac:dyDescent="0.25">
      <c r="A191" s="631"/>
      <c r="B191" s="1648" t="str">
        <f>Submittals!G51</f>
        <v>• Manufacturer's data of all the water efficient fixtures installed showing the water usage of the fixtures (flowrates or flush volumes) - OR -
• Test measurements results showing the water usage of the fixtures (flowrates or flush volumes) of all the water fixtures installed</v>
      </c>
      <c r="C191" s="1649"/>
      <c r="D191" s="1649"/>
      <c r="E191" s="1649"/>
      <c r="F191" s="1649"/>
      <c r="G191" s="652" t="s">
        <v>53</v>
      </c>
      <c r="H191" s="1689"/>
      <c r="I191" s="1736"/>
      <c r="J191" s="631"/>
      <c r="K191" s="631"/>
      <c r="L191" s="35" t="str">
        <f>IF(OR(B191="/",B191="No evidence required at this submission stage"),"Yes",IF(G191="Submitted","Yes","No"))</f>
        <v>No</v>
      </c>
    </row>
    <row r="192" spans="1:12" ht="24" customHeight="1" x14ac:dyDescent="0.25">
      <c r="A192" s="631"/>
      <c r="B192" s="1648" t="str">
        <f>Submittals!G52</f>
        <v>• Evidence that the water efficient fixtures have been installed such as photographs, receipts, delivery order, etc.</v>
      </c>
      <c r="C192" s="1649"/>
      <c r="D192" s="1649"/>
      <c r="E192" s="1649"/>
      <c r="F192" s="1649"/>
      <c r="G192" s="652" t="s">
        <v>53</v>
      </c>
      <c r="H192" s="1689"/>
      <c r="I192" s="1736"/>
      <c r="J192" s="631"/>
      <c r="K192" s="631"/>
      <c r="L192" s="35" t="str">
        <f t="shared" ref="L192" si="6">IF(OR(B192="/",B192="No evidence required at this submission stage"),"Yes",IF(G192="Submitted","Yes","No"))</f>
        <v>No</v>
      </c>
    </row>
    <row r="193" spans="1:16" ht="19.5" customHeight="1" x14ac:dyDescent="0.25">
      <c r="A193" s="631"/>
      <c r="B193" s="325"/>
      <c r="C193" s="631"/>
      <c r="D193" s="631"/>
      <c r="E193" s="631"/>
      <c r="F193" s="631"/>
      <c r="G193" s="631"/>
      <c r="H193" s="631"/>
      <c r="I193" s="631"/>
      <c r="J193" s="631"/>
      <c r="K193" s="631"/>
    </row>
    <row r="194" spans="1:16" ht="16.5" customHeight="1" x14ac:dyDescent="0.25">
      <c r="A194" s="151" t="s">
        <v>5</v>
      </c>
      <c r="B194" s="55"/>
      <c r="C194" s="55"/>
      <c r="D194" s="631"/>
      <c r="E194" s="631"/>
      <c r="F194" s="631"/>
      <c r="G194" s="631"/>
      <c r="H194" s="631"/>
      <c r="I194" s="631"/>
      <c r="J194" s="631"/>
      <c r="K194" s="631"/>
    </row>
    <row r="195" spans="1:16" x14ac:dyDescent="0.25">
      <c r="A195" s="631"/>
      <c r="B195" s="325"/>
      <c r="C195" s="325"/>
      <c r="D195" s="325"/>
      <c r="E195" s="325"/>
      <c r="F195" s="325"/>
      <c r="G195" s="325"/>
      <c r="H195" s="325"/>
      <c r="I195" s="325"/>
      <c r="J195" s="325"/>
      <c r="K195" s="325"/>
    </row>
    <row r="196" spans="1:16" ht="18" customHeight="1" x14ac:dyDescent="0.25">
      <c r="A196" s="631"/>
      <c r="B196" s="106" t="s">
        <v>16</v>
      </c>
      <c r="C196" s="8">
        <f>IF(F13="No",0,IF(E186="Yes",1,0))</f>
        <v>0</v>
      </c>
      <c r="D196" s="631"/>
      <c r="E196" s="631"/>
      <c r="F196" s="631"/>
      <c r="G196" s="631"/>
      <c r="H196" s="631"/>
      <c r="I196" s="631"/>
      <c r="J196" s="631"/>
      <c r="K196" s="631"/>
    </row>
    <row r="197" spans="1:16" ht="18" customHeight="1" collapsed="1" x14ac:dyDescent="0.25">
      <c r="A197" s="631"/>
      <c r="B197" s="113" t="s">
        <v>133</v>
      </c>
      <c r="C197" s="757" t="str">
        <f>IF(F13="No","No",IF(AND(COUNTIF(L191:L192,"Yes")=2,C196&gt;0),"Yes","No"))</f>
        <v>No</v>
      </c>
      <c r="D197" s="631"/>
      <c r="E197" s="631"/>
      <c r="F197" s="631"/>
      <c r="G197" s="631"/>
      <c r="H197" s="631"/>
      <c r="I197" s="631"/>
      <c r="J197" s="631"/>
      <c r="K197" s="631"/>
    </row>
    <row r="198" spans="1:16" ht="24" customHeight="1" x14ac:dyDescent="0.25">
      <c r="A198" s="631"/>
      <c r="B198" s="325"/>
      <c r="C198" s="632"/>
      <c r="D198" s="325"/>
      <c r="E198" s="325"/>
      <c r="F198" s="325"/>
      <c r="G198" s="325"/>
      <c r="H198" s="325"/>
      <c r="I198" s="325"/>
      <c r="J198" s="325"/>
      <c r="K198" s="325"/>
    </row>
    <row r="199" spans="1:16" ht="18" customHeight="1" x14ac:dyDescent="0.25">
      <c r="A199" s="1909" t="s">
        <v>973</v>
      </c>
      <c r="B199" s="1909"/>
      <c r="C199" s="1909"/>
      <c r="D199" s="1909"/>
      <c r="E199" s="1909"/>
      <c r="F199" s="1909"/>
      <c r="G199" s="1909"/>
      <c r="H199" s="1909"/>
      <c r="I199" s="1909"/>
      <c r="J199" s="1909"/>
      <c r="K199" s="1909"/>
    </row>
    <row r="200" spans="1:16" ht="15" customHeight="1" x14ac:dyDescent="0.25">
      <c r="A200" s="631"/>
      <c r="B200" s="325"/>
      <c r="C200" s="325"/>
      <c r="D200" s="325"/>
      <c r="E200" s="325"/>
      <c r="F200" s="325"/>
      <c r="G200" s="325"/>
      <c r="H200" s="325"/>
      <c r="I200" s="325"/>
      <c r="J200" s="325"/>
      <c r="K200" s="325"/>
    </row>
    <row r="201" spans="1:16" ht="16.5" customHeight="1" x14ac:dyDescent="0.25">
      <c r="A201" s="1894" t="s">
        <v>102</v>
      </c>
      <c r="B201" s="1894"/>
      <c r="C201" s="1894"/>
      <c r="D201" s="325"/>
      <c r="E201" s="325"/>
      <c r="F201" s="325"/>
      <c r="G201" s="325"/>
      <c r="H201" s="325"/>
      <c r="I201" s="325"/>
      <c r="J201" s="325"/>
      <c r="K201" s="325"/>
    </row>
    <row r="202" spans="1:16" ht="15" customHeight="1" x14ac:dyDescent="0.25">
      <c r="A202" s="631"/>
      <c r="B202" s="325"/>
      <c r="C202" s="325"/>
      <c r="D202" s="325"/>
      <c r="E202" s="325"/>
      <c r="F202" s="325"/>
      <c r="G202" s="325"/>
      <c r="H202" s="325"/>
      <c r="I202" s="325"/>
      <c r="J202" s="325"/>
      <c r="K202" s="325"/>
    </row>
    <row r="203" spans="1:16" ht="15" customHeight="1" x14ac:dyDescent="0.25">
      <c r="A203" s="631"/>
      <c r="B203" s="765" t="s">
        <v>1100</v>
      </c>
      <c r="C203" s="325"/>
      <c r="D203" s="325"/>
      <c r="E203" s="325"/>
      <c r="F203" s="325"/>
      <c r="G203" s="325"/>
      <c r="H203" s="325"/>
      <c r="I203" s="325"/>
      <c r="J203" s="325"/>
      <c r="K203" s="325"/>
    </row>
    <row r="204" spans="1:16" ht="15" customHeight="1" x14ac:dyDescent="0.25">
      <c r="A204" s="631"/>
      <c r="B204" s="325"/>
      <c r="C204" s="325"/>
      <c r="D204" s="325"/>
      <c r="E204" s="325"/>
      <c r="F204" s="325"/>
      <c r="G204" s="325"/>
      <c r="H204" s="325"/>
      <c r="I204" s="325"/>
      <c r="J204" s="325"/>
      <c r="K204" s="325"/>
    </row>
    <row r="205" spans="1:16" ht="15" customHeight="1" x14ac:dyDescent="0.25">
      <c r="A205" s="631"/>
      <c r="B205" s="709" t="s">
        <v>1261</v>
      </c>
      <c r="C205" s="325"/>
      <c r="D205" s="325"/>
      <c r="E205" s="325"/>
      <c r="F205" s="325"/>
      <c r="G205" s="325"/>
      <c r="H205" s="325"/>
      <c r="I205" s="325"/>
      <c r="J205" s="325"/>
      <c r="K205" s="325"/>
    </row>
    <row r="206" spans="1:16" ht="17.25" customHeight="1" x14ac:dyDescent="0.25">
      <c r="A206" s="631"/>
      <c r="B206" s="325"/>
      <c r="C206" s="325"/>
      <c r="D206" s="325"/>
      <c r="E206" s="325"/>
      <c r="F206" s="325"/>
      <c r="G206" s="325"/>
      <c r="H206" s="325"/>
      <c r="I206" s="325"/>
      <c r="J206" s="325"/>
      <c r="K206" s="325"/>
    </row>
    <row r="207" spans="1:16" x14ac:dyDescent="0.25">
      <c r="A207" s="325"/>
      <c r="B207" s="1929" t="s">
        <v>1165</v>
      </c>
      <c r="C207" s="1929"/>
      <c r="D207" s="1929"/>
      <c r="E207" s="1929"/>
      <c r="F207" s="325"/>
      <c r="G207" s="325"/>
      <c r="H207" s="325"/>
      <c r="I207" s="325"/>
      <c r="J207" s="325"/>
      <c r="K207" s="325"/>
      <c r="M207" s="35" t="s">
        <v>53</v>
      </c>
    </row>
    <row r="208" spans="1:16" ht="21" customHeight="1" x14ac:dyDescent="0.25">
      <c r="A208" s="325"/>
      <c r="B208" s="1890" t="s">
        <v>282</v>
      </c>
      <c r="C208" s="1891"/>
      <c r="D208" s="1892" t="s">
        <v>633</v>
      </c>
      <c r="E208" s="1890"/>
      <c r="F208" s="325"/>
      <c r="G208" s="325"/>
      <c r="H208" s="325"/>
      <c r="I208" s="325"/>
      <c r="J208" s="325"/>
      <c r="K208" s="325"/>
      <c r="M208" s="727" t="s">
        <v>1185</v>
      </c>
      <c r="N208" s="35" t="s">
        <v>1178</v>
      </c>
      <c r="O208" s="729" t="s">
        <v>284</v>
      </c>
      <c r="P208" s="729"/>
    </row>
    <row r="209" spans="1:16" ht="15.75" customHeight="1" x14ac:dyDescent="0.25">
      <c r="A209" s="325"/>
      <c r="B209" s="1893" t="s">
        <v>283</v>
      </c>
      <c r="C209" s="1893"/>
      <c r="D209" s="1893"/>
      <c r="E209" s="1893"/>
      <c r="F209" s="325"/>
      <c r="G209" s="325"/>
      <c r="H209" s="325"/>
      <c r="I209" s="325"/>
      <c r="J209" s="325"/>
      <c r="K209" s="325"/>
      <c r="M209" s="35" t="s">
        <v>285</v>
      </c>
      <c r="N209" s="35" t="s">
        <v>1184</v>
      </c>
      <c r="O209" s="729" t="s">
        <v>286</v>
      </c>
      <c r="P209" s="729">
        <v>120</v>
      </c>
    </row>
    <row r="210" spans="1:16" ht="30.75" customHeight="1" x14ac:dyDescent="0.25">
      <c r="A210" s="325"/>
      <c r="B210" s="1887" t="s">
        <v>314</v>
      </c>
      <c r="C210" s="1887"/>
      <c r="D210" s="1887" t="s">
        <v>284</v>
      </c>
      <c r="E210" s="1887"/>
      <c r="F210" s="325"/>
      <c r="G210" s="325"/>
      <c r="H210" s="325"/>
      <c r="I210" s="325"/>
      <c r="J210" s="325"/>
      <c r="K210" s="325"/>
      <c r="M210" s="35" t="s">
        <v>288</v>
      </c>
      <c r="N210" s="35" t="s">
        <v>1180</v>
      </c>
      <c r="O210" s="729" t="s">
        <v>289</v>
      </c>
      <c r="P210" s="729">
        <v>1000</v>
      </c>
    </row>
    <row r="211" spans="1:16" ht="15.75" customHeight="1" x14ac:dyDescent="0.25">
      <c r="A211" s="325"/>
      <c r="B211" s="1887" t="s">
        <v>285</v>
      </c>
      <c r="C211" s="1887"/>
      <c r="D211" s="1887" t="s">
        <v>286</v>
      </c>
      <c r="E211" s="1887"/>
      <c r="F211" s="325"/>
      <c r="G211" s="325"/>
      <c r="H211" s="325"/>
      <c r="I211" s="325"/>
      <c r="J211" s="325"/>
      <c r="K211" s="325"/>
      <c r="M211" s="35" t="s">
        <v>290</v>
      </c>
      <c r="N211" s="35" t="s">
        <v>1179</v>
      </c>
      <c r="O211" s="729" t="s">
        <v>291</v>
      </c>
      <c r="P211" s="729">
        <v>4.9000000000000004</v>
      </c>
    </row>
    <row r="212" spans="1:16" ht="15.75" customHeight="1" x14ac:dyDescent="0.25">
      <c r="A212" s="325"/>
      <c r="B212" s="1893" t="s">
        <v>287</v>
      </c>
      <c r="C212" s="1893"/>
      <c r="D212" s="1893"/>
      <c r="E212" s="1893"/>
      <c r="F212" s="325"/>
      <c r="G212" s="325"/>
      <c r="H212" s="325"/>
      <c r="I212" s="325"/>
      <c r="J212" s="325"/>
      <c r="K212" s="325"/>
      <c r="M212" s="35" t="s">
        <v>292</v>
      </c>
      <c r="N212" s="35" t="s">
        <v>1178</v>
      </c>
      <c r="O212" s="729" t="s">
        <v>1896</v>
      </c>
      <c r="P212" s="729"/>
    </row>
    <row r="213" spans="1:16" ht="15" customHeight="1" x14ac:dyDescent="0.25">
      <c r="A213" s="325"/>
      <c r="B213" s="1887" t="s">
        <v>288</v>
      </c>
      <c r="C213" s="1887"/>
      <c r="D213" s="1887" t="s">
        <v>289</v>
      </c>
      <c r="E213" s="1887"/>
      <c r="F213" s="325"/>
      <c r="G213" s="325"/>
      <c r="H213" s="325"/>
      <c r="I213" s="325"/>
      <c r="J213" s="325"/>
      <c r="K213" s="325"/>
      <c r="M213" s="35" t="s">
        <v>1168</v>
      </c>
      <c r="N213" s="35" t="s">
        <v>1177</v>
      </c>
      <c r="O213" s="729" t="s">
        <v>296</v>
      </c>
      <c r="P213" s="729">
        <v>6</v>
      </c>
    </row>
    <row r="214" spans="1:16" ht="15.75" customHeight="1" x14ac:dyDescent="0.25">
      <c r="A214" s="325"/>
      <c r="B214" s="1887" t="s">
        <v>290</v>
      </c>
      <c r="C214" s="1887"/>
      <c r="D214" s="1887" t="s">
        <v>291</v>
      </c>
      <c r="E214" s="1887"/>
      <c r="F214" s="325"/>
      <c r="G214" s="325"/>
      <c r="H214" s="325"/>
      <c r="I214" s="325"/>
      <c r="J214" s="325"/>
      <c r="K214" s="325"/>
      <c r="M214" s="35" t="s">
        <v>1176</v>
      </c>
      <c r="N214" s="35" t="s">
        <v>1177</v>
      </c>
      <c r="O214" s="729" t="s">
        <v>298</v>
      </c>
      <c r="P214" s="729">
        <v>5.3</v>
      </c>
    </row>
    <row r="215" spans="1:16" ht="54" customHeight="1" x14ac:dyDescent="0.25">
      <c r="A215" s="325"/>
      <c r="B215" s="1887" t="s">
        <v>292</v>
      </c>
      <c r="C215" s="1887"/>
      <c r="D215" s="1887" t="s">
        <v>293</v>
      </c>
      <c r="E215" s="1887"/>
      <c r="F215" s="325"/>
      <c r="G215" s="325"/>
      <c r="H215" s="325"/>
      <c r="I215" s="325"/>
      <c r="J215" s="325"/>
      <c r="K215" s="325"/>
      <c r="M215" s="35" t="s">
        <v>1175</v>
      </c>
      <c r="N215" s="35" t="s">
        <v>1181</v>
      </c>
      <c r="O215" s="729" t="s">
        <v>300</v>
      </c>
      <c r="P215" s="729">
        <v>3.8</v>
      </c>
    </row>
    <row r="216" spans="1:16" ht="15" customHeight="1" x14ac:dyDescent="0.25">
      <c r="A216" s="325"/>
      <c r="B216" s="1893" t="s">
        <v>294</v>
      </c>
      <c r="C216" s="1893"/>
      <c r="D216" s="1893"/>
      <c r="E216" s="1893"/>
      <c r="F216" s="325"/>
      <c r="G216" s="325"/>
      <c r="H216" s="325"/>
      <c r="I216" s="325"/>
      <c r="J216" s="325"/>
      <c r="K216" s="325"/>
      <c r="M216" s="35" t="s">
        <v>1174</v>
      </c>
      <c r="N216" s="35" t="s">
        <v>1181</v>
      </c>
      <c r="O216" s="729" t="s">
        <v>302</v>
      </c>
      <c r="P216" s="729">
        <v>3.4</v>
      </c>
    </row>
    <row r="217" spans="1:16" ht="15" customHeight="1" x14ac:dyDescent="0.25">
      <c r="A217" s="325"/>
      <c r="B217" s="1888" t="s">
        <v>243</v>
      </c>
      <c r="C217" s="283" t="s">
        <v>295</v>
      </c>
      <c r="D217" s="1887" t="s">
        <v>296</v>
      </c>
      <c r="E217" s="1887"/>
      <c r="F217" s="325"/>
      <c r="G217" s="325"/>
      <c r="H217" s="325"/>
      <c r="I217" s="325"/>
      <c r="J217" s="325"/>
      <c r="K217" s="325"/>
      <c r="M217" s="35" t="s">
        <v>1173</v>
      </c>
      <c r="N217" s="35" t="s">
        <v>1182</v>
      </c>
      <c r="O217" s="729" t="s">
        <v>304</v>
      </c>
      <c r="P217" s="729">
        <v>680</v>
      </c>
    </row>
    <row r="218" spans="1:16" ht="25.5" x14ac:dyDescent="0.25">
      <c r="A218" s="325"/>
      <c r="B218" s="1888"/>
      <c r="C218" s="283" t="s">
        <v>297</v>
      </c>
      <c r="D218" s="1887" t="s">
        <v>298</v>
      </c>
      <c r="E218" s="1887"/>
      <c r="F218" s="325"/>
      <c r="G218" s="325"/>
      <c r="H218" s="325"/>
      <c r="I218" s="325"/>
      <c r="J218" s="325"/>
      <c r="K218" s="325"/>
      <c r="M218" s="35" t="s">
        <v>1171</v>
      </c>
      <c r="N218" s="35" t="s">
        <v>1183</v>
      </c>
      <c r="O218" s="729" t="s">
        <v>307</v>
      </c>
      <c r="P218" s="729">
        <v>23</v>
      </c>
    </row>
    <row r="219" spans="1:16" ht="15" customHeight="1" x14ac:dyDescent="0.25">
      <c r="A219" s="325"/>
      <c r="B219" s="1888"/>
      <c r="C219" s="283" t="s">
        <v>299</v>
      </c>
      <c r="D219" s="1887" t="s">
        <v>300</v>
      </c>
      <c r="E219" s="1887"/>
      <c r="F219" s="325"/>
      <c r="G219" s="325"/>
      <c r="H219" s="325"/>
      <c r="I219" s="325"/>
      <c r="J219" s="325"/>
      <c r="K219" s="325"/>
      <c r="M219" s="35" t="s">
        <v>1172</v>
      </c>
      <c r="N219" s="35" t="s">
        <v>1183</v>
      </c>
      <c r="O219" s="729" t="s">
        <v>309</v>
      </c>
      <c r="P219" s="729">
        <v>38</v>
      </c>
    </row>
    <row r="220" spans="1:16" ht="15" customHeight="1" x14ac:dyDescent="0.25">
      <c r="A220" s="325"/>
      <c r="B220" s="1888"/>
      <c r="C220" s="283" t="s">
        <v>301</v>
      </c>
      <c r="D220" s="1887" t="s">
        <v>302</v>
      </c>
      <c r="E220" s="1887"/>
      <c r="F220" s="325"/>
      <c r="G220" s="325"/>
      <c r="H220" s="325"/>
      <c r="I220" s="325"/>
      <c r="J220" s="325"/>
      <c r="K220" s="325"/>
      <c r="M220" s="35" t="s">
        <v>1170</v>
      </c>
      <c r="N220" s="35" t="s">
        <v>1183</v>
      </c>
      <c r="O220" s="729" t="s">
        <v>312</v>
      </c>
      <c r="P220" s="729">
        <v>13</v>
      </c>
    </row>
    <row r="221" spans="1:16" ht="15" customHeight="1" x14ac:dyDescent="0.25">
      <c r="A221" s="325"/>
      <c r="B221" s="1888"/>
      <c r="C221" s="283" t="s">
        <v>303</v>
      </c>
      <c r="D221" s="1887" t="s">
        <v>304</v>
      </c>
      <c r="E221" s="1887"/>
      <c r="F221" s="325"/>
      <c r="G221" s="325"/>
      <c r="H221" s="325"/>
      <c r="I221" s="325"/>
      <c r="J221" s="325"/>
      <c r="K221" s="325"/>
      <c r="M221" s="35" t="s">
        <v>1169</v>
      </c>
      <c r="N221" s="35" t="s">
        <v>1183</v>
      </c>
      <c r="O221" s="729" t="s">
        <v>312</v>
      </c>
      <c r="P221" s="729">
        <v>13</v>
      </c>
    </row>
    <row r="222" spans="1:16" x14ac:dyDescent="0.25">
      <c r="A222" s="325"/>
      <c r="B222" s="1888" t="s">
        <v>305</v>
      </c>
      <c r="C222" s="283" t="s">
        <v>306</v>
      </c>
      <c r="D222" s="1887" t="s">
        <v>307</v>
      </c>
      <c r="E222" s="1887"/>
      <c r="F222" s="325"/>
      <c r="G222" s="325"/>
      <c r="H222" s="325"/>
      <c r="I222" s="325"/>
      <c r="J222" s="325"/>
      <c r="K222" s="325"/>
    </row>
    <row r="223" spans="1:16" x14ac:dyDescent="0.25">
      <c r="A223" s="325"/>
      <c r="B223" s="1888"/>
      <c r="C223" s="283" t="s">
        <v>308</v>
      </c>
      <c r="D223" s="1887" t="s">
        <v>309</v>
      </c>
      <c r="E223" s="1887"/>
      <c r="F223" s="325"/>
      <c r="G223" s="325"/>
      <c r="H223" s="325"/>
      <c r="I223" s="325"/>
      <c r="J223" s="325"/>
      <c r="K223" s="325"/>
    </row>
    <row r="224" spans="1:16" x14ac:dyDescent="0.25">
      <c r="A224" s="325"/>
      <c r="B224" s="1888" t="s">
        <v>310</v>
      </c>
      <c r="C224" s="283" t="s">
        <v>311</v>
      </c>
      <c r="D224" s="1887" t="s">
        <v>312</v>
      </c>
      <c r="E224" s="1887"/>
      <c r="F224" s="325"/>
      <c r="G224" s="325"/>
      <c r="H224" s="325"/>
      <c r="I224" s="325"/>
      <c r="J224" s="325"/>
      <c r="K224" s="325"/>
    </row>
    <row r="225" spans="1:12" x14ac:dyDescent="0.25">
      <c r="A225" s="325"/>
      <c r="B225" s="1888"/>
      <c r="C225" s="283" t="s">
        <v>313</v>
      </c>
      <c r="D225" s="1887" t="s">
        <v>312</v>
      </c>
      <c r="E225" s="1887"/>
      <c r="F225" s="325"/>
      <c r="G225" s="325"/>
      <c r="H225" s="325"/>
      <c r="I225" s="325"/>
      <c r="J225" s="325"/>
      <c r="K225" s="325"/>
    </row>
    <row r="226" spans="1:12" x14ac:dyDescent="0.25">
      <c r="A226" s="325"/>
      <c r="B226" s="325"/>
      <c r="C226" s="325"/>
      <c r="D226" s="325"/>
      <c r="E226" s="325"/>
      <c r="F226" s="325"/>
      <c r="G226" s="325"/>
      <c r="H226" s="325"/>
      <c r="I226" s="325"/>
      <c r="J226" s="325"/>
      <c r="K226" s="325"/>
    </row>
    <row r="227" spans="1:12" x14ac:dyDescent="0.25">
      <c r="A227" s="325"/>
      <c r="B227" s="725" t="s">
        <v>1186</v>
      </c>
      <c r="C227" s="325"/>
      <c r="D227" s="325"/>
      <c r="E227" s="325"/>
      <c r="F227" s="325"/>
      <c r="G227" s="325"/>
      <c r="H227" s="325"/>
      <c r="I227" s="325"/>
      <c r="J227" s="325"/>
      <c r="K227" s="325"/>
    </row>
    <row r="228" spans="1:12" ht="11.25" customHeight="1" x14ac:dyDescent="0.25">
      <c r="A228" s="325"/>
      <c r="B228" s="325"/>
      <c r="C228" s="325"/>
      <c r="D228" s="325"/>
      <c r="E228" s="325"/>
      <c r="F228" s="325"/>
      <c r="G228" s="325"/>
      <c r="H228" s="325"/>
      <c r="I228" s="325"/>
      <c r="J228" s="325"/>
      <c r="K228" s="325"/>
    </row>
    <row r="229" spans="1:12" ht="18" customHeight="1" x14ac:dyDescent="0.25">
      <c r="A229" s="325"/>
      <c r="B229" s="1901" t="s">
        <v>67</v>
      </c>
      <c r="C229" s="1902"/>
      <c r="D229" s="1160" t="s">
        <v>135</v>
      </c>
      <c r="E229" s="1883" t="s">
        <v>1167</v>
      </c>
      <c r="F229" s="1884"/>
      <c r="G229" s="1883" t="s">
        <v>633</v>
      </c>
      <c r="H229" s="1884"/>
      <c r="I229" s="702" t="s">
        <v>77</v>
      </c>
      <c r="J229" s="325"/>
      <c r="K229" s="325"/>
      <c r="L229" s="325"/>
    </row>
    <row r="230" spans="1:12" ht="26.1" customHeight="1" x14ac:dyDescent="0.25">
      <c r="A230" s="325"/>
      <c r="B230" s="1900" t="s">
        <v>53</v>
      </c>
      <c r="C230" s="1900"/>
      <c r="D230" s="1147"/>
      <c r="E230" s="730"/>
      <c r="F230" s="728" t="str">
        <f t="shared" ref="F230:F237" si="7">IF(VLOOKUP(B230,$M$207:$N$221,2,FALSE)=0,"",VLOOKUP(B230,$M$207:$N$221,2,FALSE))</f>
        <v/>
      </c>
      <c r="G230" s="1885" t="str">
        <f t="shared" ref="G230:G237" si="8">IFERROR(VLOOKUP(B230,$M$208:$O$221,3,FALSE),"")</f>
        <v/>
      </c>
      <c r="H230" s="1886"/>
      <c r="I230" s="701" t="str">
        <f>IF(B230="Select","",IF(E230="","No",IF(OR(AND(F230="ENERGY STAR or equivalent",E230="Compliant"),E230&lt;=VLOOKUP(B230,$M$207:$P$221,4,FALSE)),"Yes","No")))</f>
        <v/>
      </c>
      <c r="J230" s="325"/>
      <c r="K230" s="325"/>
      <c r="L230" s="325"/>
    </row>
    <row r="231" spans="1:12" ht="26.1" customHeight="1" x14ac:dyDescent="0.25">
      <c r="A231" s="325"/>
      <c r="B231" s="1900" t="s">
        <v>53</v>
      </c>
      <c r="C231" s="1900"/>
      <c r="D231" s="1147"/>
      <c r="E231" s="844"/>
      <c r="F231" s="728" t="str">
        <f t="shared" si="7"/>
        <v/>
      </c>
      <c r="G231" s="1880" t="str">
        <f t="shared" si="8"/>
        <v/>
      </c>
      <c r="H231" s="1881"/>
      <c r="I231" s="1149" t="str">
        <f t="shared" ref="I231:I237" si="9">IF(B231="Select","",IF(E231="","No",IF(OR(E231="Compliant",E231&lt;=VLOOKUP(B231,$M$207:$P$221,4,FALSE)),"Yes","No")))</f>
        <v/>
      </c>
      <c r="J231" s="325"/>
      <c r="K231" s="325"/>
      <c r="L231" s="325"/>
    </row>
    <row r="232" spans="1:12" ht="26.1" customHeight="1" x14ac:dyDescent="0.25">
      <c r="A232" s="325"/>
      <c r="B232" s="1900" t="s">
        <v>53</v>
      </c>
      <c r="C232" s="1900"/>
      <c r="D232" s="1147"/>
      <c r="E232" s="844"/>
      <c r="F232" s="728" t="str">
        <f t="shared" si="7"/>
        <v/>
      </c>
      <c r="G232" s="1880" t="str">
        <f t="shared" si="8"/>
        <v/>
      </c>
      <c r="H232" s="1881"/>
      <c r="I232" s="1149" t="str">
        <f t="shared" si="9"/>
        <v/>
      </c>
      <c r="J232" s="325"/>
      <c r="K232" s="325"/>
      <c r="L232" s="325"/>
    </row>
    <row r="233" spans="1:12" ht="26.1" customHeight="1" x14ac:dyDescent="0.25">
      <c r="A233" s="325"/>
      <c r="B233" s="1900" t="s">
        <v>53</v>
      </c>
      <c r="C233" s="1900"/>
      <c r="D233" s="1147"/>
      <c r="E233" s="844"/>
      <c r="F233" s="728" t="str">
        <f t="shared" si="7"/>
        <v/>
      </c>
      <c r="G233" s="1880" t="str">
        <f t="shared" si="8"/>
        <v/>
      </c>
      <c r="H233" s="1881"/>
      <c r="I233" s="1149" t="str">
        <f t="shared" si="9"/>
        <v/>
      </c>
      <c r="J233" s="325"/>
      <c r="K233" s="325"/>
      <c r="L233" s="325"/>
    </row>
    <row r="234" spans="1:12" ht="26.1" customHeight="1" x14ac:dyDescent="0.25">
      <c r="A234" s="325"/>
      <c r="B234" s="1900" t="s">
        <v>53</v>
      </c>
      <c r="C234" s="1900"/>
      <c r="D234" s="1147"/>
      <c r="E234" s="844"/>
      <c r="F234" s="728" t="str">
        <f t="shared" si="7"/>
        <v/>
      </c>
      <c r="G234" s="1880" t="str">
        <f t="shared" si="8"/>
        <v/>
      </c>
      <c r="H234" s="1881"/>
      <c r="I234" s="1149" t="str">
        <f t="shared" si="9"/>
        <v/>
      </c>
      <c r="J234" s="325"/>
      <c r="K234" s="325"/>
      <c r="L234" s="325"/>
    </row>
    <row r="235" spans="1:12" ht="26.1" customHeight="1" x14ac:dyDescent="0.25">
      <c r="A235" s="325"/>
      <c r="B235" s="1900" t="s">
        <v>53</v>
      </c>
      <c r="C235" s="1900"/>
      <c r="D235" s="1147"/>
      <c r="E235" s="844"/>
      <c r="F235" s="728" t="str">
        <f t="shared" si="7"/>
        <v/>
      </c>
      <c r="G235" s="1880" t="str">
        <f t="shared" si="8"/>
        <v/>
      </c>
      <c r="H235" s="1881"/>
      <c r="I235" s="1149" t="str">
        <f t="shared" si="9"/>
        <v/>
      </c>
      <c r="J235" s="325"/>
      <c r="K235" s="325"/>
      <c r="L235" s="325"/>
    </row>
    <row r="236" spans="1:12" ht="26.1" customHeight="1" x14ac:dyDescent="0.25">
      <c r="A236" s="325"/>
      <c r="B236" s="1900" t="s">
        <v>53</v>
      </c>
      <c r="C236" s="1900"/>
      <c r="D236" s="1147"/>
      <c r="E236" s="844"/>
      <c r="F236" s="728" t="str">
        <f t="shared" si="7"/>
        <v/>
      </c>
      <c r="G236" s="1880" t="str">
        <f t="shared" si="8"/>
        <v/>
      </c>
      <c r="H236" s="1881"/>
      <c r="I236" s="1149" t="str">
        <f t="shared" si="9"/>
        <v/>
      </c>
      <c r="J236" s="325"/>
      <c r="K236" s="325"/>
      <c r="L236" s="325"/>
    </row>
    <row r="237" spans="1:12" ht="26.1" customHeight="1" x14ac:dyDescent="0.25">
      <c r="A237" s="325"/>
      <c r="B237" s="1900" t="s">
        <v>53</v>
      </c>
      <c r="C237" s="1900"/>
      <c r="D237" s="1147"/>
      <c r="E237" s="844"/>
      <c r="F237" s="728" t="str">
        <f t="shared" si="7"/>
        <v/>
      </c>
      <c r="G237" s="1880" t="str">
        <f t="shared" si="8"/>
        <v/>
      </c>
      <c r="H237" s="1881"/>
      <c r="I237" s="1149" t="str">
        <f t="shared" si="9"/>
        <v/>
      </c>
      <c r="J237" s="325"/>
      <c r="K237" s="325"/>
      <c r="L237" s="325"/>
    </row>
    <row r="238" spans="1:12" x14ac:dyDescent="0.25">
      <c r="A238" s="325"/>
      <c r="B238" s="325"/>
      <c r="C238" s="325"/>
      <c r="D238" s="325"/>
      <c r="E238" s="325"/>
      <c r="F238" s="325"/>
      <c r="G238" s="325"/>
      <c r="H238" s="325"/>
      <c r="I238" s="325"/>
      <c r="J238" s="325"/>
      <c r="K238" s="325"/>
    </row>
    <row r="239" spans="1:12" ht="19.5" customHeight="1" x14ac:dyDescent="0.25">
      <c r="A239" s="325"/>
      <c r="B239" s="1896" t="s">
        <v>1262</v>
      </c>
      <c r="C239" s="1896"/>
      <c r="D239" s="1896"/>
      <c r="E239" s="60" t="str">
        <f>IF(COUNTIF(I230:I237,"No")&gt;0,"No",IF(COUNTIF(I230:I237,"Yes")&gt;0,"Yes","No"))</f>
        <v>No</v>
      </c>
      <c r="F239" s="325"/>
      <c r="G239" s="325"/>
      <c r="H239" s="325"/>
      <c r="I239" s="325"/>
      <c r="J239" s="325"/>
      <c r="K239" s="325"/>
    </row>
    <row r="240" spans="1:12" ht="20.25" customHeight="1" x14ac:dyDescent="0.25">
      <c r="A240" s="325"/>
      <c r="B240" s="325"/>
      <c r="C240" s="325"/>
      <c r="D240" s="325"/>
      <c r="E240" s="325"/>
      <c r="F240" s="325"/>
      <c r="G240" s="325"/>
      <c r="H240" s="325"/>
      <c r="I240" s="325"/>
      <c r="J240" s="325"/>
      <c r="K240" s="325"/>
    </row>
    <row r="241" spans="1:13" ht="16.5" customHeight="1" x14ac:dyDescent="0.25">
      <c r="A241" s="151" t="s">
        <v>84</v>
      </c>
      <c r="B241" s="55"/>
      <c r="C241" s="55"/>
      <c r="D241" s="632"/>
      <c r="E241" s="632"/>
      <c r="F241" s="632"/>
      <c r="G241" s="632"/>
      <c r="H241" s="632"/>
      <c r="I241" s="632"/>
      <c r="J241" s="632"/>
      <c r="K241" s="632"/>
      <c r="M241" s="46"/>
    </row>
    <row r="242" spans="1:13" ht="16.5" customHeight="1" x14ac:dyDescent="0.25">
      <c r="A242" s="631"/>
      <c r="B242" s="325"/>
      <c r="C242" s="325"/>
      <c r="D242" s="325"/>
      <c r="E242" s="325"/>
      <c r="F242" s="325"/>
      <c r="G242" s="325"/>
      <c r="H242" s="325"/>
      <c r="I242" s="631"/>
      <c r="J242" s="631"/>
      <c r="K242" s="631"/>
      <c r="M242" s="46"/>
    </row>
    <row r="243" spans="1:13" ht="21" customHeight="1" x14ac:dyDescent="0.25">
      <c r="A243" s="631"/>
      <c r="B243" s="1897" t="s">
        <v>85</v>
      </c>
      <c r="C243" s="1898"/>
      <c r="D243" s="1898"/>
      <c r="E243" s="1898"/>
      <c r="F243" s="1898"/>
      <c r="G243" s="666" t="s">
        <v>907</v>
      </c>
      <c r="H243" s="1899" t="s">
        <v>908</v>
      </c>
      <c r="I243" s="1899"/>
      <c r="J243" s="631"/>
      <c r="K243" s="631"/>
    </row>
    <row r="244" spans="1:13" ht="24" customHeight="1" x14ac:dyDescent="0.25">
      <c r="A244" s="631"/>
      <c r="B244" s="1648" t="str">
        <f>Submittals!G53</f>
        <v>• Manufacturer’s data for each water appliance installed showing the water usage of the appliance</v>
      </c>
      <c r="C244" s="1649"/>
      <c r="D244" s="1649"/>
      <c r="E244" s="1649"/>
      <c r="F244" s="1649"/>
      <c r="G244" s="652" t="s">
        <v>53</v>
      </c>
      <c r="H244" s="1689"/>
      <c r="I244" s="1736"/>
      <c r="J244" s="631"/>
      <c r="K244" s="631"/>
      <c r="L244" s="35" t="str">
        <f>IF(OR(B244="/",B244="No evidence required at this submission stage"),"Yes",IF(G244="Submitted","Yes","No"))</f>
        <v>No</v>
      </c>
    </row>
    <row r="245" spans="1:13" ht="30.75" customHeight="1" x14ac:dyDescent="0.25">
      <c r="A245" s="631"/>
      <c r="B245" s="1648" t="str">
        <f>Submittals!G54</f>
        <v>• Evidence that the water efficient appliances have been installed such as photographs, receipts, delivery order, etc.</v>
      </c>
      <c r="C245" s="1649"/>
      <c r="D245" s="1649"/>
      <c r="E245" s="1649"/>
      <c r="F245" s="1649"/>
      <c r="G245" s="652" t="s">
        <v>53</v>
      </c>
      <c r="H245" s="1689"/>
      <c r="I245" s="1736"/>
      <c r="J245" s="631"/>
      <c r="K245" s="631"/>
      <c r="L245" s="35" t="str">
        <f t="shared" ref="L245" si="10">IF(OR(B245="/",B245="No evidence required at this submission stage"),"Yes",IF(G245="Submitted","Yes","No"))</f>
        <v>No</v>
      </c>
    </row>
    <row r="246" spans="1:13" ht="18.75" customHeight="1" x14ac:dyDescent="0.25">
      <c r="A246" s="631"/>
      <c r="B246" s="325"/>
      <c r="C246" s="631"/>
      <c r="D246" s="631"/>
      <c r="E246" s="631"/>
      <c r="F246" s="631"/>
      <c r="G246" s="631"/>
      <c r="H246" s="631"/>
      <c r="I246" s="631"/>
      <c r="J246" s="631"/>
      <c r="K246" s="631"/>
    </row>
    <row r="247" spans="1:13" ht="16.5" customHeight="1" x14ac:dyDescent="0.25">
      <c r="A247" s="151" t="s">
        <v>5</v>
      </c>
      <c r="B247" s="55"/>
      <c r="C247" s="55"/>
      <c r="D247" s="631"/>
      <c r="E247" s="631"/>
      <c r="F247" s="631"/>
      <c r="G247" s="631"/>
      <c r="H247" s="631"/>
      <c r="I247" s="631"/>
      <c r="J247" s="631"/>
      <c r="K247" s="631"/>
    </row>
    <row r="248" spans="1:13" x14ac:dyDescent="0.25">
      <c r="A248" s="631"/>
      <c r="B248" s="325"/>
      <c r="C248" s="325"/>
      <c r="D248" s="325"/>
      <c r="E248" s="325"/>
      <c r="F248" s="325"/>
      <c r="G248" s="325"/>
      <c r="H248" s="325"/>
      <c r="I248" s="325"/>
      <c r="J248" s="325"/>
      <c r="K248" s="325"/>
    </row>
    <row r="249" spans="1:13" ht="18" customHeight="1" x14ac:dyDescent="0.25">
      <c r="A249" s="631"/>
      <c r="B249" s="106" t="s">
        <v>16</v>
      </c>
      <c r="C249" s="8">
        <f>IF(F13="No",0,IF(E239="Yes",1,0))</f>
        <v>0</v>
      </c>
      <c r="D249" s="631"/>
      <c r="E249" s="631"/>
      <c r="F249" s="631"/>
      <c r="G249" s="631"/>
      <c r="H249" s="631"/>
      <c r="I249" s="631"/>
      <c r="J249" s="631"/>
      <c r="K249" s="631"/>
    </row>
    <row r="250" spans="1:13" ht="18" customHeight="1" collapsed="1" x14ac:dyDescent="0.25">
      <c r="A250" s="631"/>
      <c r="B250" s="113" t="s">
        <v>133</v>
      </c>
      <c r="C250" s="8" t="str">
        <f>IF(F13="No","No",IF(AND(COUNTIF(L244:L245,"Yes")=2,C249&gt;0),"Yes","No"))</f>
        <v>No</v>
      </c>
      <c r="D250" s="631"/>
      <c r="E250" s="631"/>
      <c r="F250" s="631"/>
      <c r="G250" s="631"/>
      <c r="H250" s="631"/>
      <c r="I250" s="631"/>
      <c r="J250" s="631"/>
      <c r="K250" s="631"/>
    </row>
    <row r="251" spans="1:13" ht="21" customHeight="1" x14ac:dyDescent="0.25">
      <c r="A251" s="631"/>
      <c r="B251" s="325"/>
      <c r="C251" s="325"/>
      <c r="D251" s="325"/>
      <c r="E251" s="325"/>
      <c r="F251" s="325"/>
      <c r="G251" s="325"/>
      <c r="H251" s="325"/>
      <c r="I251" s="325"/>
      <c r="J251" s="325"/>
      <c r="K251" s="325"/>
    </row>
    <row r="252" spans="1:13" ht="18" customHeight="1" x14ac:dyDescent="0.25">
      <c r="A252" s="1909" t="s">
        <v>1255</v>
      </c>
      <c r="B252" s="1909"/>
      <c r="C252" s="1909"/>
      <c r="D252" s="1909"/>
      <c r="E252" s="1909"/>
      <c r="F252" s="1909"/>
      <c r="G252" s="1909"/>
      <c r="H252" s="1909"/>
      <c r="I252" s="1909"/>
      <c r="J252" s="1909"/>
      <c r="K252" s="1909"/>
    </row>
    <row r="253" spans="1:13" ht="18.75" customHeight="1" x14ac:dyDescent="0.25">
      <c r="A253" s="667"/>
      <c r="B253" s="114"/>
      <c r="C253" s="114"/>
      <c r="D253" s="114"/>
      <c r="E253" s="114"/>
      <c r="F253" s="114"/>
      <c r="G253" s="114"/>
      <c r="H253" s="114"/>
      <c r="I253" s="114"/>
      <c r="J253" s="114"/>
      <c r="K253" s="114"/>
    </row>
    <row r="254" spans="1:13" ht="18.75" customHeight="1" x14ac:dyDescent="0.25">
      <c r="A254" s="667"/>
      <c r="B254" s="114"/>
      <c r="C254" s="114"/>
      <c r="D254" s="114"/>
      <c r="E254" s="114"/>
      <c r="F254" s="114"/>
      <c r="G254" s="114"/>
      <c r="H254" s="114"/>
      <c r="I254" s="114"/>
      <c r="J254" s="114"/>
      <c r="K254" s="114"/>
    </row>
    <row r="255" spans="1:13" ht="18.75" customHeight="1" x14ac:dyDescent="0.25">
      <c r="A255" s="667"/>
      <c r="B255" s="114"/>
      <c r="C255" s="114"/>
      <c r="D255" s="114"/>
      <c r="E255" s="114"/>
      <c r="F255" s="114"/>
      <c r="G255" s="114"/>
      <c r="H255" s="114"/>
      <c r="I255" s="114"/>
      <c r="J255" s="114"/>
      <c r="K255" s="114"/>
    </row>
    <row r="256" spans="1:13" ht="18" customHeight="1" x14ac:dyDescent="0.25">
      <c r="A256" s="1909" t="s">
        <v>1252</v>
      </c>
      <c r="B256" s="1909"/>
      <c r="C256" s="1909"/>
      <c r="D256" s="1909"/>
      <c r="E256" s="1909"/>
      <c r="F256" s="1909"/>
      <c r="G256" s="1909"/>
      <c r="H256" s="1909"/>
      <c r="I256" s="1909"/>
      <c r="J256" s="1909"/>
      <c r="K256" s="1909"/>
    </row>
    <row r="257" spans="1:14" s="633" customFormat="1" ht="15" customHeight="1" x14ac:dyDescent="0.25">
      <c r="A257" s="118"/>
      <c r="B257" s="118"/>
      <c r="C257" s="118"/>
      <c r="D257" s="118"/>
      <c r="E257" s="118"/>
      <c r="F257" s="118"/>
      <c r="G257" s="118"/>
      <c r="H257" s="118"/>
      <c r="I257" s="118"/>
      <c r="J257" s="118"/>
      <c r="K257" s="118"/>
      <c r="L257" s="35"/>
      <c r="M257" s="35"/>
    </row>
    <row r="258" spans="1:14" ht="16.5" customHeight="1" x14ac:dyDescent="0.25">
      <c r="A258" s="1894" t="s">
        <v>102</v>
      </c>
      <c r="B258" s="1894"/>
      <c r="C258" s="1894"/>
      <c r="D258" s="118"/>
      <c r="E258" s="118"/>
      <c r="F258" s="118"/>
      <c r="G258" s="118"/>
      <c r="H258" s="118"/>
      <c r="I258" s="118"/>
      <c r="J258" s="118"/>
      <c r="K258" s="118"/>
    </row>
    <row r="259" spans="1:14" ht="15" customHeight="1" x14ac:dyDescent="0.25">
      <c r="A259" s="118"/>
      <c r="B259" s="118"/>
      <c r="C259" s="118"/>
      <c r="D259" s="118"/>
      <c r="E259" s="118"/>
      <c r="F259" s="118"/>
      <c r="G259" s="118"/>
      <c r="H259" s="118"/>
      <c r="I259" s="118"/>
      <c r="J259" s="118"/>
      <c r="K259" s="118"/>
    </row>
    <row r="260" spans="1:14" ht="15" customHeight="1" x14ac:dyDescent="0.25">
      <c r="A260" s="118"/>
      <c r="B260" s="1882" t="s">
        <v>1880</v>
      </c>
      <c r="C260" s="1882"/>
      <c r="D260" s="1882"/>
      <c r="E260" s="1882"/>
      <c r="F260" s="1882"/>
      <c r="G260" s="1882"/>
      <c r="H260" s="1882"/>
      <c r="I260" s="1882"/>
      <c r="J260" s="1882"/>
      <c r="K260" s="118"/>
    </row>
    <row r="261" spans="1:14" ht="17.25" customHeight="1" x14ac:dyDescent="0.25">
      <c r="A261" s="118"/>
      <c r="B261" s="1882"/>
      <c r="C261" s="1882"/>
      <c r="D261" s="1882"/>
      <c r="E261" s="1882"/>
      <c r="F261" s="1882"/>
      <c r="G261" s="1882"/>
      <c r="H261" s="1882"/>
      <c r="I261" s="1882"/>
      <c r="J261" s="1882"/>
      <c r="K261" s="118"/>
    </row>
    <row r="262" spans="1:14" x14ac:dyDescent="0.25">
      <c r="A262" s="118"/>
      <c r="B262" s="118"/>
      <c r="C262" s="118"/>
      <c r="D262" s="118"/>
      <c r="E262" s="118"/>
      <c r="F262" s="118"/>
      <c r="G262" s="118"/>
      <c r="H262" s="118"/>
      <c r="I262" s="118"/>
      <c r="J262" s="118"/>
      <c r="K262" s="118"/>
    </row>
    <row r="263" spans="1:14" ht="16.5" customHeight="1" x14ac:dyDescent="0.25">
      <c r="A263" s="1894" t="s">
        <v>6</v>
      </c>
      <c r="B263" s="1894"/>
      <c r="C263" s="1894"/>
      <c r="D263" s="118"/>
      <c r="E263" s="118"/>
      <c r="F263" s="118"/>
      <c r="G263" s="118"/>
      <c r="H263" s="118"/>
      <c r="I263" s="118"/>
      <c r="J263" s="118"/>
      <c r="K263" s="118"/>
    </row>
    <row r="264" spans="1:14" x14ac:dyDescent="0.25">
      <c r="A264" s="118"/>
      <c r="B264" s="118"/>
      <c r="C264" s="118"/>
      <c r="D264" s="118"/>
      <c r="E264" s="118"/>
      <c r="F264" s="118"/>
      <c r="G264" s="118"/>
      <c r="H264" s="118"/>
      <c r="I264" s="118"/>
      <c r="J264" s="118"/>
      <c r="K264" s="118"/>
    </row>
    <row r="265" spans="1:14" x14ac:dyDescent="0.25">
      <c r="A265" s="118"/>
      <c r="B265" s="118" t="s">
        <v>1251</v>
      </c>
      <c r="C265" s="118"/>
      <c r="D265" s="118"/>
      <c r="E265" s="118"/>
      <c r="F265" s="118"/>
      <c r="G265" s="118"/>
      <c r="H265" s="118"/>
      <c r="I265" s="118"/>
      <c r="J265" s="118"/>
      <c r="K265" s="118"/>
    </row>
    <row r="266" spans="1:14" x14ac:dyDescent="0.25">
      <c r="A266" s="118"/>
      <c r="B266" s="118" t="s">
        <v>1103</v>
      </c>
      <c r="C266" s="118"/>
      <c r="D266" s="118"/>
      <c r="E266" s="118"/>
      <c r="F266" s="118"/>
      <c r="G266" s="118"/>
      <c r="H266" s="118"/>
      <c r="I266" s="118"/>
      <c r="J266" s="118"/>
      <c r="K266" s="118"/>
    </row>
    <row r="267" spans="1:14" x14ac:dyDescent="0.25">
      <c r="A267" s="118"/>
      <c r="B267" s="118"/>
      <c r="C267" s="118"/>
      <c r="D267" s="118"/>
      <c r="E267" s="118"/>
      <c r="F267" s="118"/>
      <c r="G267" s="118"/>
      <c r="H267" s="118"/>
      <c r="I267" s="118"/>
      <c r="J267" s="118"/>
      <c r="K267" s="118"/>
    </row>
    <row r="268" spans="1:14" x14ac:dyDescent="0.25">
      <c r="A268" s="118"/>
      <c r="B268" s="572" t="s">
        <v>1164</v>
      </c>
      <c r="C268" s="118"/>
      <c r="D268" s="118"/>
      <c r="E268" s="118"/>
      <c r="F268" s="118"/>
      <c r="G268" s="118"/>
      <c r="H268" s="118"/>
      <c r="I268" s="118"/>
      <c r="J268" s="118"/>
      <c r="K268" s="118"/>
    </row>
    <row r="269" spans="1:14" x14ac:dyDescent="0.25">
      <c r="A269" s="118"/>
      <c r="B269" s="118"/>
      <c r="C269" s="118"/>
      <c r="D269" s="118"/>
      <c r="E269" s="118"/>
      <c r="F269" s="118"/>
      <c r="G269" s="118"/>
      <c r="H269" s="118"/>
      <c r="I269" s="118"/>
      <c r="J269" s="118"/>
      <c r="K269" s="118"/>
    </row>
    <row r="270" spans="1:14" ht="38.25" hidden="1" x14ac:dyDescent="0.25">
      <c r="A270" s="118"/>
      <c r="B270" s="118"/>
      <c r="C270" s="713" t="s">
        <v>1107</v>
      </c>
      <c r="D270" s="713" t="s">
        <v>1108</v>
      </c>
      <c r="E270" s="714" t="s">
        <v>1131</v>
      </c>
      <c r="F270" s="714" t="s">
        <v>1160</v>
      </c>
      <c r="G270" s="714" t="s">
        <v>1161</v>
      </c>
      <c r="H270" s="713" t="s">
        <v>1145</v>
      </c>
      <c r="I270" s="118"/>
      <c r="J270" s="118"/>
      <c r="K270" s="118"/>
    </row>
    <row r="271" spans="1:14" ht="19.5" hidden="1" customHeight="1" x14ac:dyDescent="0.25">
      <c r="A271" s="118"/>
      <c r="B271" s="64" t="s">
        <v>100</v>
      </c>
      <c r="C271" s="734"/>
      <c r="D271" s="734"/>
      <c r="E271" s="734"/>
      <c r="F271" s="734"/>
      <c r="G271" s="734"/>
      <c r="H271" s="734"/>
      <c r="I271" s="118"/>
      <c r="J271" s="118"/>
      <c r="K271" s="118"/>
      <c r="M271" s="1917" t="s">
        <v>1107</v>
      </c>
      <c r="N271" s="1917"/>
    </row>
    <row r="272" spans="1:14" hidden="1" x14ac:dyDescent="0.25">
      <c r="A272" s="118"/>
      <c r="B272" s="632"/>
      <c r="C272" s="632"/>
      <c r="D272" s="632"/>
      <c r="E272" s="632"/>
      <c r="F272" s="632"/>
      <c r="G272" s="632"/>
      <c r="H272" s="632"/>
      <c r="I272" s="118"/>
      <c r="J272" s="118"/>
      <c r="K272" s="118"/>
      <c r="M272" s="1918"/>
      <c r="N272" s="1918"/>
    </row>
    <row r="273" spans="1:14" ht="20.25" hidden="1" customHeight="1" x14ac:dyDescent="0.25">
      <c r="A273" s="118"/>
      <c r="B273" s="1919" t="s">
        <v>75</v>
      </c>
      <c r="C273" s="1920"/>
      <c r="D273" s="1921" t="s">
        <v>909</v>
      </c>
      <c r="E273" s="1921"/>
      <c r="F273" s="1921" t="s">
        <v>113</v>
      </c>
      <c r="G273" s="1921" t="s">
        <v>1162</v>
      </c>
      <c r="H273" s="1923" t="s">
        <v>1163</v>
      </c>
      <c r="I273" s="118"/>
      <c r="J273" s="118"/>
      <c r="K273" s="118"/>
      <c r="M273" s="1921" t="s">
        <v>1162</v>
      </c>
      <c r="N273" s="1923" t="s">
        <v>1163</v>
      </c>
    </row>
    <row r="274" spans="1:14" ht="20.25" hidden="1" customHeight="1" x14ac:dyDescent="0.25">
      <c r="A274" s="118"/>
      <c r="B274" s="634" t="s">
        <v>79</v>
      </c>
      <c r="C274" s="635" t="s">
        <v>72</v>
      </c>
      <c r="D274" s="1922"/>
      <c r="E274" s="1922"/>
      <c r="F274" s="1922"/>
      <c r="G274" s="1922"/>
      <c r="H274" s="1924"/>
      <c r="I274" s="118"/>
      <c r="J274" s="118"/>
      <c r="K274" s="118"/>
      <c r="M274" s="1922"/>
      <c r="N274" s="1924"/>
    </row>
    <row r="275" spans="1:14" hidden="1" x14ac:dyDescent="0.25">
      <c r="A275" s="118"/>
      <c r="B275" s="1907" t="s">
        <v>760</v>
      </c>
      <c r="C275" s="1907" t="s">
        <v>759</v>
      </c>
      <c r="D275" s="62" t="s">
        <v>73</v>
      </c>
      <c r="E275" s="100">
        <v>3</v>
      </c>
      <c r="F275" s="1907">
        <v>2</v>
      </c>
      <c r="G275" s="1915" t="e">
        <f>IF(OR(B275="",C275="",F275=""),"",IF(C275="Dual Flush",(E275*3+E276*1)*$C$117*F275/SUM(#REF!),E276*4*$C$117*F275/SUM(#REF!)))</f>
        <v>#REF!</v>
      </c>
      <c r="H275" s="1915" t="e">
        <f>IF(OR(B275="",C275="",F275=""),"",6*4*$C$117*F275/SUM(#REF!))</f>
        <v>#REF!</v>
      </c>
      <c r="I275" s="118"/>
      <c r="J275" s="118"/>
      <c r="K275" s="118"/>
      <c r="M275" s="1915" t="e">
        <f>IF(OR(B275="",C275="",F275=""),"",IF(C275="Dual Flush",(E275*3+E276*1)*$C$117*F275/SUM(#REF!),E276*4*$C$117*F275/SUM(#REF!)))</f>
        <v>#REF!</v>
      </c>
      <c r="N275" s="1915" t="e">
        <f>IF(OR(B275="",C275="",F275=""),"",6*4*$C$117*F275/SUM(#REF!))</f>
        <v>#REF!</v>
      </c>
    </row>
    <row r="276" spans="1:14" hidden="1" x14ac:dyDescent="0.25">
      <c r="A276" s="118"/>
      <c r="B276" s="1908"/>
      <c r="C276" s="1908"/>
      <c r="D276" s="62" t="s">
        <v>74</v>
      </c>
      <c r="E276" s="100">
        <v>4</v>
      </c>
      <c r="F276" s="1908"/>
      <c r="G276" s="1916"/>
      <c r="H276" s="1916"/>
      <c r="I276" s="118"/>
      <c r="J276" s="118"/>
      <c r="K276" s="118"/>
      <c r="M276" s="1916"/>
      <c r="N276" s="1916"/>
    </row>
    <row r="277" spans="1:14" hidden="1" x14ac:dyDescent="0.25">
      <c r="A277" s="118"/>
      <c r="B277" s="1907"/>
      <c r="C277" s="1907"/>
      <c r="D277" s="62" t="s">
        <v>73</v>
      </c>
      <c r="E277" s="100"/>
      <c r="F277" s="1907"/>
      <c r="G277" s="1915" t="str">
        <f>IF(OR(B277="",C277="",F277=""),"",IF(C277="Dual Flush",(E277*3+E278*1)*$C$117*F277/SUM(#REF!),E278*4*$C$117*F277/SUM(#REF!)))</f>
        <v/>
      </c>
      <c r="H277" s="1915" t="str">
        <f>IF(OR(B277="",C277="",F277=""),"",6*4*$C$117*F277/SUM(#REF!))</f>
        <v/>
      </c>
      <c r="I277" s="118"/>
      <c r="J277" s="118"/>
      <c r="K277" s="118"/>
      <c r="M277" s="1915" t="str">
        <f>IF(OR(B277="",C277="",F277=""),"",IF(C277="Dual Flush",(E277*3+E278*1)*$C$117*F277/SUM(#REF!),E278*4*$C$117*F277/SUM(#REF!)))</f>
        <v/>
      </c>
      <c r="N277" s="1915" t="str">
        <f>IF(OR(B277="",C277="",F277=""),"",6*4*$C$117*F277/SUM(#REF!))</f>
        <v/>
      </c>
    </row>
    <row r="278" spans="1:14" hidden="1" x14ac:dyDescent="0.25">
      <c r="A278" s="118"/>
      <c r="B278" s="1908"/>
      <c r="C278" s="1908"/>
      <c r="D278" s="62" t="s">
        <v>74</v>
      </c>
      <c r="E278" s="100"/>
      <c r="F278" s="1908"/>
      <c r="G278" s="1916"/>
      <c r="H278" s="1916"/>
      <c r="I278" s="118"/>
      <c r="J278" s="118"/>
      <c r="K278" s="118"/>
      <c r="M278" s="1916"/>
      <c r="N278" s="1916"/>
    </row>
    <row r="279" spans="1:14" hidden="1" x14ac:dyDescent="0.25">
      <c r="A279" s="118"/>
      <c r="B279" s="1905"/>
      <c r="C279" s="1907"/>
      <c r="D279" s="62" t="s">
        <v>73</v>
      </c>
      <c r="E279" s="100"/>
      <c r="F279" s="1907"/>
      <c r="G279" s="1915" t="str">
        <f>IF(OR(B279="",C279="",F279=""),"",IF(C279="Dual Flush",(E279*3+E280*1)*$C$117*F279/SUM(#REF!),E280*4*$C$117*F279/SUM(#REF!)))</f>
        <v/>
      </c>
      <c r="H279" s="1915" t="str">
        <f>IF(OR(B279="",C279="",F279=""),"",6*4*$C$117*F279/SUM(#REF!))</f>
        <v/>
      </c>
      <c r="I279" s="118"/>
      <c r="J279" s="118"/>
      <c r="K279" s="118"/>
      <c r="M279" s="1915" t="str">
        <f>IF(OR(B279="",C279="",F279=""),"",IF(C279="Dual Flush",(E279*3+E280*1)*$C$117*F279/SUM(#REF!),E280*4*$C$117*F279/SUM(#REF!)))</f>
        <v/>
      </c>
      <c r="N279" s="1915" t="str">
        <f>IF(OR(B279="",C279="",F279=""),"",6*4*$C$117*F279/SUM(#REF!))</f>
        <v/>
      </c>
    </row>
    <row r="280" spans="1:14" hidden="1" x14ac:dyDescent="0.25">
      <c r="A280" s="118"/>
      <c r="B280" s="1906"/>
      <c r="C280" s="1908"/>
      <c r="D280" s="62" t="s">
        <v>74</v>
      </c>
      <c r="E280" s="100"/>
      <c r="F280" s="1908"/>
      <c r="G280" s="1916"/>
      <c r="H280" s="1916"/>
      <c r="I280" s="118"/>
      <c r="J280" s="118"/>
      <c r="K280" s="118"/>
      <c r="M280" s="1916"/>
      <c r="N280" s="1916"/>
    </row>
    <row r="281" spans="1:14" hidden="1" x14ac:dyDescent="0.25">
      <c r="A281" s="118"/>
      <c r="B281" s="118"/>
      <c r="C281" s="118"/>
      <c r="D281" s="118"/>
      <c r="E281" s="118"/>
      <c r="F281" s="118"/>
      <c r="G281" s="551" t="e">
        <f>SUM(G275:G280)</f>
        <v>#REF!</v>
      </c>
      <c r="H281" s="551" t="e">
        <f>SUM(H275:H280)</f>
        <v>#REF!</v>
      </c>
      <c r="I281" s="118"/>
      <c r="J281" s="118"/>
      <c r="K281" s="118"/>
      <c r="M281" s="551" t="e">
        <f>SUM(M275:M280)</f>
        <v>#REF!</v>
      </c>
      <c r="N281" s="551" t="e">
        <f>SUM(N275:N280)</f>
        <v>#REF!</v>
      </c>
    </row>
    <row r="282" spans="1:14" ht="12" hidden="1" customHeight="1" x14ac:dyDescent="0.25">
      <c r="A282" s="118"/>
      <c r="B282" s="118"/>
      <c r="C282" s="118"/>
      <c r="D282" s="118"/>
      <c r="E282" s="118"/>
      <c r="F282" s="118"/>
      <c r="G282" s="632"/>
      <c r="H282" s="632"/>
      <c r="I282" s="118"/>
      <c r="J282" s="118"/>
      <c r="K282" s="118"/>
    </row>
    <row r="283" spans="1:14" ht="32.25" hidden="1" customHeight="1" x14ac:dyDescent="0.25">
      <c r="A283" s="632"/>
      <c r="B283" s="1927" t="s">
        <v>78</v>
      </c>
      <c r="C283" s="1928"/>
      <c r="D283" s="1914" t="s">
        <v>76</v>
      </c>
      <c r="E283" s="1914"/>
      <c r="F283" s="742" t="s">
        <v>113</v>
      </c>
      <c r="G283" s="742" t="s">
        <v>70</v>
      </c>
      <c r="H283" s="637" t="s">
        <v>71</v>
      </c>
      <c r="I283" s="118"/>
      <c r="J283" s="118"/>
      <c r="K283" s="118"/>
    </row>
    <row r="284" spans="1:14" hidden="1" x14ac:dyDescent="0.25">
      <c r="A284" s="632"/>
      <c r="B284" s="1903"/>
      <c r="C284" s="1904"/>
      <c r="D284" s="1903"/>
      <c r="E284" s="1904"/>
      <c r="F284" s="734"/>
      <c r="G284" s="735" t="str">
        <f>IF(OR(B284="",D284="",F284=""),"",D284*480*$C$117*F284/SUM(#REF!))</f>
        <v/>
      </c>
      <c r="H284" s="735" t="str">
        <f>IF(OR(B284="",D284="",F284=""),"",0.16*480*$C$117*F284/SUM(#REF!))</f>
        <v/>
      </c>
      <c r="I284" s="118"/>
      <c r="J284" s="118"/>
      <c r="K284" s="118"/>
    </row>
    <row r="285" spans="1:14" hidden="1" x14ac:dyDescent="0.25">
      <c r="A285" s="632"/>
      <c r="B285" s="1903"/>
      <c r="C285" s="1904"/>
      <c r="D285" s="1903"/>
      <c r="E285" s="1904"/>
      <c r="F285" s="734"/>
      <c r="G285" s="735" t="str">
        <f>IF(OR(B285="",D285="",F285=""),"",D285*480*$C$117*F285/SUM(#REF!))</f>
        <v/>
      </c>
      <c r="H285" s="735" t="str">
        <f>IF(OR(B285="",D285="",F285=""),"",0.16*480*$C$117*F285/SUM(#REF!))</f>
        <v/>
      </c>
      <c r="I285" s="118"/>
      <c r="J285" s="118"/>
      <c r="K285" s="118"/>
    </row>
    <row r="286" spans="1:14" hidden="1" x14ac:dyDescent="0.25">
      <c r="A286" s="632"/>
      <c r="B286" s="1903"/>
      <c r="C286" s="1904"/>
      <c r="D286" s="1903"/>
      <c r="E286" s="1904"/>
      <c r="F286" s="734"/>
      <c r="G286" s="735" t="str">
        <f>IF(OR(B286="",D286="",F286=""),"",D286*480*$C$117*F286/SUM(#REF!))</f>
        <v/>
      </c>
      <c r="H286" s="735" t="str">
        <f>IF(OR(B286="",D286="",F286=""),"",0.16*480*$C$117*F286/SUM(#REF!))</f>
        <v/>
      </c>
      <c r="I286" s="118"/>
      <c r="J286" s="118"/>
      <c r="K286" s="118"/>
    </row>
    <row r="287" spans="1:14" hidden="1" x14ac:dyDescent="0.25">
      <c r="A287" s="632"/>
      <c r="B287" s="632"/>
      <c r="C287" s="632"/>
      <c r="D287" s="632"/>
      <c r="E287" s="632"/>
      <c r="F287" s="632"/>
      <c r="G287" s="59">
        <f>SUM(G284:G286)</f>
        <v>0</v>
      </c>
      <c r="H287" s="59">
        <f>SUM(H284:H286)</f>
        <v>0</v>
      </c>
      <c r="I287" s="118"/>
      <c r="J287" s="118"/>
      <c r="K287" s="118"/>
    </row>
    <row r="288" spans="1:14" ht="12" hidden="1" customHeight="1" x14ac:dyDescent="0.25">
      <c r="A288" s="632"/>
      <c r="B288" s="632"/>
      <c r="C288" s="632"/>
      <c r="D288" s="632"/>
      <c r="E288" s="632"/>
      <c r="F288" s="632"/>
      <c r="G288" s="632"/>
      <c r="H288" s="632"/>
      <c r="I288" s="118"/>
      <c r="J288" s="118"/>
      <c r="K288" s="118"/>
    </row>
    <row r="289" spans="1:11" ht="35.25" hidden="1" customHeight="1" x14ac:dyDescent="0.25">
      <c r="A289" s="632"/>
      <c r="B289" s="1927" t="s">
        <v>81</v>
      </c>
      <c r="C289" s="1928"/>
      <c r="D289" s="1914" t="s">
        <v>76</v>
      </c>
      <c r="E289" s="1914"/>
      <c r="F289" s="742" t="s">
        <v>113</v>
      </c>
      <c r="G289" s="742" t="s">
        <v>70</v>
      </c>
      <c r="H289" s="637" t="s">
        <v>71</v>
      </c>
      <c r="I289" s="118"/>
      <c r="J289" s="118"/>
      <c r="K289" s="118"/>
    </row>
    <row r="290" spans="1:11" hidden="1" x14ac:dyDescent="0.25">
      <c r="A290" s="632"/>
      <c r="B290" s="1903"/>
      <c r="C290" s="1904"/>
      <c r="D290" s="1903"/>
      <c r="E290" s="1904"/>
      <c r="F290" s="734"/>
      <c r="G290" s="735" t="str">
        <f>IF(OR(B290="",D290="",F290=""),"",D290*60*$C$117*7*F290/SUM(#REF!))</f>
        <v/>
      </c>
      <c r="H290" s="735" t="str">
        <f>IF(OR(B290="",D290="",F290=""),"",0.14*60*$C$117*7*F290/SUM(#REF!))</f>
        <v/>
      </c>
      <c r="I290" s="118"/>
      <c r="J290" s="118"/>
      <c r="K290" s="118"/>
    </row>
    <row r="291" spans="1:11" hidden="1" x14ac:dyDescent="0.25">
      <c r="A291" s="632"/>
      <c r="B291" s="1903"/>
      <c r="C291" s="1904"/>
      <c r="D291" s="1903"/>
      <c r="E291" s="1904"/>
      <c r="F291" s="734"/>
      <c r="G291" s="735" t="str">
        <f>IF(OR(B291="",D291="",F291=""),"",D291*60*$C$117*7*F291/SUM(#REF!))</f>
        <v/>
      </c>
      <c r="H291" s="735" t="str">
        <f>IF(OR(B291="",D291="",F291=""),"",0.14*60*$C$117*7*F291/SUM(#REF!))</f>
        <v/>
      </c>
      <c r="I291" s="118"/>
      <c r="J291" s="118"/>
      <c r="K291" s="118"/>
    </row>
    <row r="292" spans="1:11" hidden="1" x14ac:dyDescent="0.25">
      <c r="A292" s="632"/>
      <c r="B292" s="1903"/>
      <c r="C292" s="1904"/>
      <c r="D292" s="1903"/>
      <c r="E292" s="1904"/>
      <c r="F292" s="734"/>
      <c r="G292" s="735" t="str">
        <f>IF(OR(B292="",D292="",F292=""),"",D292*60*$C$117*7*F292/SUM(#REF!))</f>
        <v/>
      </c>
      <c r="H292" s="735" t="str">
        <f>IF(OR(B292="",D292="",F292=""),"",0.14*60*$C$117*7*F292/SUM(#REF!))</f>
        <v/>
      </c>
      <c r="I292" s="118"/>
      <c r="J292" s="118"/>
      <c r="K292" s="118"/>
    </row>
    <row r="293" spans="1:11" ht="13.5" hidden="1" customHeight="1" x14ac:dyDescent="0.25">
      <c r="A293" s="632"/>
      <c r="B293" s="632"/>
      <c r="C293" s="632"/>
      <c r="D293" s="632"/>
      <c r="E293" s="632"/>
      <c r="F293" s="632"/>
      <c r="G293" s="59">
        <f>SUM(G290:G292)</f>
        <v>0</v>
      </c>
      <c r="H293" s="59">
        <f>SUM(H290:H292)</f>
        <v>0</v>
      </c>
      <c r="I293" s="118"/>
      <c r="J293" s="118"/>
      <c r="K293" s="118"/>
    </row>
    <row r="294" spans="1:11" ht="12" hidden="1" customHeight="1" x14ac:dyDescent="0.25">
      <c r="A294" s="632"/>
      <c r="B294" s="632"/>
      <c r="C294" s="632"/>
      <c r="D294" s="632"/>
      <c r="E294" s="632"/>
      <c r="F294" s="632"/>
      <c r="G294" s="632"/>
      <c r="H294" s="632"/>
      <c r="I294" s="118"/>
      <c r="J294" s="118"/>
      <c r="K294" s="118"/>
    </row>
    <row r="295" spans="1:11" ht="29.25" hidden="1" customHeight="1" x14ac:dyDescent="0.25">
      <c r="A295" s="632"/>
      <c r="B295" s="1927" t="s">
        <v>80</v>
      </c>
      <c r="C295" s="1928"/>
      <c r="D295" s="1914" t="s">
        <v>76</v>
      </c>
      <c r="E295" s="1914"/>
      <c r="F295" s="742" t="s">
        <v>113</v>
      </c>
      <c r="G295" s="742" t="s">
        <v>70</v>
      </c>
      <c r="H295" s="637" t="s">
        <v>71</v>
      </c>
      <c r="I295" s="118"/>
      <c r="J295" s="118"/>
      <c r="K295" s="118"/>
    </row>
    <row r="296" spans="1:11" hidden="1" x14ac:dyDescent="0.25">
      <c r="A296" s="632"/>
      <c r="B296" s="1903"/>
      <c r="C296" s="1904"/>
      <c r="D296" s="1903"/>
      <c r="E296" s="1904"/>
      <c r="F296" s="734"/>
      <c r="G296" s="735" t="str">
        <f>IF(OR(B296="",D296="",F296=""),"",D296*60*#REF!*4*F296/SUM(#REF!))</f>
        <v/>
      </c>
      <c r="H296" s="735" t="str">
        <f>IF(OR(B296="",D296="",F296=""),"",0.14*60*#REF!*4*F296/SUM(#REF!))</f>
        <v/>
      </c>
      <c r="I296" s="118"/>
      <c r="J296" s="118"/>
      <c r="K296" s="118"/>
    </row>
    <row r="297" spans="1:11" hidden="1" x14ac:dyDescent="0.25">
      <c r="A297" s="632"/>
      <c r="B297" s="1903"/>
      <c r="C297" s="1904"/>
      <c r="D297" s="1903"/>
      <c r="E297" s="1904"/>
      <c r="F297" s="734"/>
      <c r="G297" s="735" t="str">
        <f>IF(OR(B297="",D297="",F297=""),"",D297*60*#REF!*4*F297/SUM(#REF!))</f>
        <v/>
      </c>
      <c r="H297" s="735" t="str">
        <f>IF(OR(B297="",D297="",F297=""),"",0.14*60*#REF!*4*F297/SUM(#REF!))</f>
        <v/>
      </c>
      <c r="I297" s="118"/>
      <c r="J297" s="118"/>
      <c r="K297" s="118"/>
    </row>
    <row r="298" spans="1:11" hidden="1" x14ac:dyDescent="0.25">
      <c r="A298" s="632"/>
      <c r="B298" s="737"/>
      <c r="C298" s="738"/>
      <c r="D298" s="737"/>
      <c r="E298" s="738"/>
      <c r="F298" s="734"/>
      <c r="G298" s="735"/>
      <c r="H298" s="735"/>
      <c r="I298" s="118"/>
      <c r="J298" s="118"/>
      <c r="K298" s="118"/>
    </row>
    <row r="299" spans="1:11" hidden="1" x14ac:dyDescent="0.25">
      <c r="A299" s="632"/>
      <c r="B299" s="1903"/>
      <c r="C299" s="1904"/>
      <c r="D299" s="1903"/>
      <c r="E299" s="1904"/>
      <c r="F299" s="734"/>
      <c r="G299" s="735" t="str">
        <f>IF(OR(B299="",D299="",F299=""),"",D299*60*#REF!*4*F299/SUM(#REF!))</f>
        <v/>
      </c>
      <c r="H299" s="735" t="str">
        <f>IF(OR(B299="",D299="",F299=""),"",0.14*60*#REF!*4*F299/SUM(#REF!))</f>
        <v/>
      </c>
      <c r="I299" s="118"/>
      <c r="J299" s="118"/>
      <c r="K299" s="118"/>
    </row>
    <row r="300" spans="1:11" hidden="1" x14ac:dyDescent="0.25">
      <c r="A300" s="632"/>
      <c r="B300" s="632"/>
      <c r="C300" s="632"/>
      <c r="D300" s="632"/>
      <c r="E300" s="632"/>
      <c r="F300" s="632"/>
      <c r="G300" s="59">
        <f>SUM(G296:G299)</f>
        <v>0</v>
      </c>
      <c r="H300" s="59">
        <f>SUM(H296:H299)</f>
        <v>0</v>
      </c>
      <c r="I300" s="118"/>
      <c r="J300" s="118"/>
      <c r="K300" s="118"/>
    </row>
    <row r="301" spans="1:11" ht="9" customHeight="1" x14ac:dyDescent="0.25">
      <c r="A301" s="118"/>
      <c r="B301" s="118"/>
      <c r="C301" s="118"/>
      <c r="D301" s="118"/>
      <c r="E301" s="118"/>
      <c r="F301" s="118"/>
      <c r="G301" s="667"/>
      <c r="H301" s="667"/>
      <c r="I301" s="118"/>
      <c r="J301" s="118"/>
      <c r="K301" s="118"/>
    </row>
    <row r="302" spans="1:11" ht="16.5" customHeight="1" x14ac:dyDescent="0.25">
      <c r="A302" s="667"/>
      <c r="B302" s="1930" t="s">
        <v>114</v>
      </c>
      <c r="C302" s="1930"/>
      <c r="D302" s="726"/>
      <c r="E302" s="667"/>
      <c r="F302" s="667"/>
      <c r="G302" s="667"/>
      <c r="H302" s="667"/>
      <c r="I302" s="667"/>
      <c r="J302" s="667"/>
      <c r="K302" s="667"/>
    </row>
    <row r="303" spans="1:11" ht="16.5" customHeight="1" x14ac:dyDescent="0.25">
      <c r="A303" s="667"/>
      <c r="B303" s="1930" t="s">
        <v>115</v>
      </c>
      <c r="C303" s="1930"/>
      <c r="D303" s="726"/>
      <c r="E303" s="667"/>
      <c r="F303" s="667"/>
      <c r="G303" s="667"/>
      <c r="H303" s="667"/>
      <c r="I303" s="667"/>
      <c r="J303" s="667"/>
      <c r="K303" s="667"/>
    </row>
    <row r="304" spans="1:11" x14ac:dyDescent="0.25">
      <c r="A304" s="118"/>
      <c r="B304" s="118"/>
      <c r="C304" s="118"/>
      <c r="D304" s="118"/>
      <c r="E304" s="667"/>
      <c r="F304" s="667"/>
      <c r="G304" s="667"/>
      <c r="H304" s="667"/>
      <c r="I304" s="667"/>
      <c r="J304" s="667"/>
      <c r="K304" s="667"/>
    </row>
    <row r="305" spans="1:12" ht="18.75" customHeight="1" x14ac:dyDescent="0.25">
      <c r="A305" s="667"/>
      <c r="B305" s="1896" t="s">
        <v>199</v>
      </c>
      <c r="C305" s="1896"/>
      <c r="D305" s="1896"/>
      <c r="E305" s="60">
        <f>IF(OR(D302=0,D303=0),0,1-D302/D303)</f>
        <v>0</v>
      </c>
      <c r="F305" s="667"/>
      <c r="G305" s="667"/>
      <c r="H305" s="667"/>
      <c r="I305" s="667"/>
      <c r="J305" s="667"/>
      <c r="K305" s="667"/>
    </row>
    <row r="306" spans="1:12" ht="19.5" customHeight="1" x14ac:dyDescent="0.25">
      <c r="A306" s="118"/>
      <c r="B306" s="118"/>
      <c r="C306" s="118"/>
      <c r="D306" s="118"/>
      <c r="E306" s="118"/>
      <c r="F306" s="118"/>
      <c r="G306" s="118"/>
      <c r="H306" s="118"/>
      <c r="I306" s="118"/>
      <c r="J306" s="118"/>
      <c r="K306" s="118"/>
    </row>
    <row r="307" spans="1:12" ht="16.5" customHeight="1" x14ac:dyDescent="0.25">
      <c r="A307" s="1894" t="s">
        <v>84</v>
      </c>
      <c r="B307" s="1894"/>
      <c r="C307" s="1894"/>
      <c r="D307" s="118"/>
      <c r="E307" s="118"/>
      <c r="F307" s="118"/>
      <c r="G307" s="118"/>
      <c r="H307" s="118"/>
      <c r="I307" s="118"/>
      <c r="J307" s="118"/>
      <c r="K307" s="118"/>
    </row>
    <row r="308" spans="1:12" ht="16.5" customHeight="1" x14ac:dyDescent="0.25">
      <c r="A308" s="667"/>
      <c r="B308" s="667"/>
      <c r="C308" s="667"/>
      <c r="D308" s="667"/>
      <c r="E308" s="667"/>
      <c r="F308" s="667"/>
      <c r="G308" s="667"/>
      <c r="H308" s="667"/>
      <c r="I308" s="667"/>
      <c r="J308" s="667"/>
      <c r="K308" s="667"/>
    </row>
    <row r="309" spans="1:12" ht="21" customHeight="1" x14ac:dyDescent="0.25">
      <c r="A309" s="667"/>
      <c r="B309" s="1897" t="s">
        <v>85</v>
      </c>
      <c r="C309" s="1898"/>
      <c r="D309" s="1898"/>
      <c r="E309" s="1898"/>
      <c r="F309" s="1898"/>
      <c r="G309" s="740" t="s">
        <v>907</v>
      </c>
      <c r="H309" s="1899" t="s">
        <v>908</v>
      </c>
      <c r="I309" s="1899"/>
      <c r="J309" s="667"/>
      <c r="K309" s="118"/>
    </row>
    <row r="310" spans="1:12" ht="30" customHeight="1" x14ac:dyDescent="0.25">
      <c r="A310" s="667"/>
      <c r="B310" s="1648" t="str">
        <f>Submittals!G48</f>
        <v>• For each water fixture installed, evidence showing the water usage of the fixture (flowrate or flush size) such as manufacturer's data, inventory report from a facility audit or test measurements results.</v>
      </c>
      <c r="C310" s="1649"/>
      <c r="D310" s="1649"/>
      <c r="E310" s="1649"/>
      <c r="F310" s="1649"/>
      <c r="G310" s="733" t="s">
        <v>53</v>
      </c>
      <c r="H310" s="1689"/>
      <c r="I310" s="1736"/>
      <c r="J310" s="667"/>
      <c r="K310" s="667"/>
      <c r="L310" s="35" t="str">
        <f>IF(OR(B310="/",B310="No evidence required at this submission stage"),"Yes",IF(G310="Submitted","Yes","No"))</f>
        <v>No</v>
      </c>
    </row>
    <row r="311" spans="1:12" ht="30" customHeight="1" x14ac:dyDescent="0.25">
      <c r="A311" s="667"/>
      <c r="B311" s="1648" t="str">
        <f>Submittals!G49</f>
        <v>• Evidence that the water fixtures are installed such as photographs, receipts, inventory report from a facility audit, etc.</v>
      </c>
      <c r="C311" s="1649"/>
      <c r="D311" s="1649"/>
      <c r="E311" s="1649"/>
      <c r="F311" s="1649"/>
      <c r="G311" s="761" t="s">
        <v>53</v>
      </c>
      <c r="H311" s="1689"/>
      <c r="I311" s="1736"/>
      <c r="J311" s="667"/>
      <c r="K311" s="667"/>
      <c r="L311" s="35" t="str">
        <f t="shared" ref="L311:L312" si="11">IF(OR(B311="/",B311="No evidence required at this submission stage"),"Yes",IF(G311="Submitted","Yes","No"))</f>
        <v>No</v>
      </c>
    </row>
    <row r="312" spans="1:12" ht="27" hidden="1" customHeight="1" x14ac:dyDescent="0.25">
      <c r="A312" s="667"/>
      <c r="B312" s="1648" t="str">
        <f>Submittals!G50</f>
        <v>/</v>
      </c>
      <c r="C312" s="1649"/>
      <c r="D312" s="1649"/>
      <c r="E312" s="1649"/>
      <c r="F312" s="1649"/>
      <c r="G312" s="733" t="s">
        <v>53</v>
      </c>
      <c r="H312" s="1689"/>
      <c r="I312" s="1736"/>
      <c r="J312" s="667"/>
      <c r="K312" s="667"/>
      <c r="L312" s="35" t="str">
        <f t="shared" si="11"/>
        <v>Yes</v>
      </c>
    </row>
    <row r="313" spans="1:12" ht="18" customHeight="1" x14ac:dyDescent="0.25">
      <c r="A313" s="667"/>
      <c r="B313" s="114"/>
      <c r="C313" s="667"/>
      <c r="D313" s="667"/>
      <c r="E313" s="667"/>
      <c r="F313" s="667"/>
      <c r="G313" s="667"/>
      <c r="H313" s="667"/>
      <c r="I313" s="667"/>
      <c r="J313" s="667"/>
      <c r="K313" s="667"/>
    </row>
    <row r="314" spans="1:12" ht="16.5" customHeight="1" x14ac:dyDescent="0.25">
      <c r="A314" s="1894" t="s">
        <v>5</v>
      </c>
      <c r="B314" s="1894"/>
      <c r="C314" s="1894"/>
      <c r="D314" s="667"/>
      <c r="E314" s="667"/>
      <c r="F314" s="667"/>
      <c r="G314" s="667"/>
      <c r="H314" s="667"/>
      <c r="I314" s="667"/>
      <c r="J314" s="667"/>
      <c r="K314" s="667"/>
    </row>
    <row r="315" spans="1:12" ht="16.5" customHeight="1" x14ac:dyDescent="0.25">
      <c r="A315" s="667"/>
      <c r="B315" s="114"/>
      <c r="C315" s="114"/>
      <c r="D315" s="114"/>
      <c r="E315" s="114"/>
      <c r="F315" s="114"/>
      <c r="G315" s="114"/>
      <c r="H315" s="114"/>
      <c r="I315" s="114"/>
      <c r="J315" s="114"/>
      <c r="K315" s="114"/>
    </row>
    <row r="316" spans="1:12" ht="18" customHeight="1" x14ac:dyDescent="0.25">
      <c r="A316" s="667"/>
      <c r="B316" s="106" t="s">
        <v>16</v>
      </c>
      <c r="C316" s="8">
        <f>IF(F13="Yes",0,IF(E305&gt;=0.4,3,IF(E305&gt;=0.3,2,IF(E305&gt;=0.2,1,0))))</f>
        <v>0</v>
      </c>
      <c r="D316" s="667"/>
      <c r="E316" s="667"/>
      <c r="F316" s="667"/>
      <c r="G316" s="667"/>
      <c r="H316" s="667"/>
      <c r="I316" s="667"/>
      <c r="J316" s="667"/>
      <c r="K316" s="667"/>
    </row>
    <row r="317" spans="1:12" ht="18" customHeight="1" collapsed="1" x14ac:dyDescent="0.25">
      <c r="A317" s="667"/>
      <c r="B317" s="113" t="s">
        <v>133</v>
      </c>
      <c r="C317" s="8" t="str">
        <f>IF(F13="Yes","No",IF(AND(COUNTIF(L310:L311,"Yes")=2,C316&gt;0),"Yes","No"))</f>
        <v>No</v>
      </c>
      <c r="D317" s="667"/>
      <c r="E317" s="667"/>
      <c r="F317" s="667"/>
      <c r="G317" s="667"/>
      <c r="H317" s="667"/>
      <c r="I317" s="667"/>
      <c r="J317" s="667"/>
      <c r="K317" s="667"/>
    </row>
    <row r="318" spans="1:12" ht="19.5" customHeight="1" x14ac:dyDescent="0.25">
      <c r="A318" s="667"/>
      <c r="B318" s="114"/>
      <c r="C318" s="114"/>
      <c r="D318" s="114"/>
      <c r="E318" s="114"/>
      <c r="F318" s="114"/>
      <c r="G318" s="114"/>
      <c r="H318" s="114"/>
      <c r="I318" s="114"/>
      <c r="J318" s="114"/>
      <c r="K318" s="114"/>
    </row>
    <row r="319" spans="1:12" ht="18" customHeight="1" x14ac:dyDescent="0.25">
      <c r="A319" s="1909" t="s">
        <v>974</v>
      </c>
      <c r="B319" s="1909"/>
      <c r="C319" s="1909"/>
      <c r="D319" s="1909"/>
      <c r="E319" s="1909"/>
      <c r="F319" s="1909"/>
      <c r="G319" s="1909"/>
      <c r="H319" s="1909"/>
      <c r="I319" s="1909"/>
      <c r="J319" s="1909"/>
      <c r="K319" s="1909"/>
    </row>
    <row r="320" spans="1:12" ht="15" customHeight="1" x14ac:dyDescent="0.25">
      <c r="A320" s="118"/>
      <c r="B320" s="118"/>
      <c r="C320" s="118"/>
      <c r="D320" s="118"/>
      <c r="E320" s="118"/>
      <c r="F320" s="118"/>
      <c r="G320" s="118"/>
      <c r="H320" s="118"/>
      <c r="I320" s="118"/>
      <c r="J320" s="118"/>
      <c r="K320" s="118"/>
    </row>
    <row r="321" spans="1:12" ht="17.25" customHeight="1" x14ac:dyDescent="0.25">
      <c r="A321" s="736" t="s">
        <v>102</v>
      </c>
      <c r="B321" s="55"/>
      <c r="C321" s="55"/>
      <c r="D321" s="118"/>
      <c r="E321" s="118"/>
      <c r="F321" s="118"/>
      <c r="G321" s="118"/>
      <c r="H321" s="118"/>
      <c r="I321" s="118"/>
      <c r="J321" s="118"/>
      <c r="K321" s="118"/>
    </row>
    <row r="322" spans="1:12" x14ac:dyDescent="0.25">
      <c r="A322" s="118"/>
      <c r="B322" s="118"/>
      <c r="C322" s="118"/>
      <c r="D322" s="118"/>
      <c r="E322" s="118"/>
      <c r="F322" s="118"/>
      <c r="G322" s="118"/>
      <c r="H322" s="118"/>
      <c r="I322" s="118"/>
      <c r="J322" s="118"/>
      <c r="K322" s="118"/>
    </row>
    <row r="323" spans="1:12" ht="26.25" customHeight="1" x14ac:dyDescent="0.25">
      <c r="A323" s="118"/>
      <c r="B323" s="1882" t="s">
        <v>1253</v>
      </c>
      <c r="C323" s="1882"/>
      <c r="D323" s="1882"/>
      <c r="E323" s="1882"/>
      <c r="F323" s="1882"/>
      <c r="G323" s="1882"/>
      <c r="H323" s="1882"/>
      <c r="I323" s="1882"/>
      <c r="J323" s="1882"/>
      <c r="K323" s="114"/>
    </row>
    <row r="324" spans="1:12" x14ac:dyDescent="0.25">
      <c r="A324" s="118"/>
      <c r="B324" s="741"/>
      <c r="C324" s="741"/>
      <c r="D324" s="741"/>
      <c r="E324" s="741"/>
      <c r="F324" s="741"/>
      <c r="G324" s="741"/>
      <c r="H324" s="741"/>
      <c r="I324" s="741"/>
      <c r="J324" s="741"/>
      <c r="K324" s="114"/>
    </row>
    <row r="325" spans="1:12" x14ac:dyDescent="0.25">
      <c r="A325" s="118"/>
      <c r="B325" s="744" t="s">
        <v>280</v>
      </c>
      <c r="C325" s="415"/>
      <c r="D325" s="415"/>
      <c r="E325" s="416"/>
      <c r="F325" s="114"/>
      <c r="G325" s="114"/>
      <c r="H325" s="114"/>
      <c r="I325" s="114"/>
      <c r="J325" s="114"/>
      <c r="K325" s="114"/>
    </row>
    <row r="326" spans="1:12" x14ac:dyDescent="0.25">
      <c r="A326" s="118"/>
      <c r="B326" s="745" t="s">
        <v>281</v>
      </c>
      <c r="C326" s="417"/>
      <c r="D326" s="417"/>
      <c r="E326" s="418"/>
      <c r="F326" s="114"/>
      <c r="G326" s="114"/>
      <c r="H326" s="114"/>
      <c r="I326" s="114"/>
      <c r="J326" s="114"/>
      <c r="K326" s="114"/>
    </row>
    <row r="327" spans="1:12" x14ac:dyDescent="0.25">
      <c r="A327" s="118"/>
      <c r="B327" s="746" t="s">
        <v>1513</v>
      </c>
      <c r="C327" s="419"/>
      <c r="D327" s="419"/>
      <c r="E327" s="420"/>
      <c r="F327" s="114"/>
      <c r="G327" s="114"/>
      <c r="H327" s="114"/>
      <c r="I327" s="114"/>
      <c r="J327" s="114"/>
      <c r="K327" s="114"/>
    </row>
    <row r="328" spans="1:12" x14ac:dyDescent="0.25">
      <c r="A328" s="118"/>
      <c r="B328" s="114"/>
      <c r="C328" s="114"/>
      <c r="D328" s="114"/>
      <c r="E328" s="114"/>
      <c r="F328" s="114"/>
      <c r="G328" s="114"/>
      <c r="H328" s="114"/>
      <c r="I328" s="114"/>
      <c r="J328" s="114"/>
      <c r="K328" s="114"/>
    </row>
    <row r="329" spans="1:12" x14ac:dyDescent="0.25">
      <c r="A329" s="118"/>
      <c r="B329" s="572" t="s">
        <v>1445</v>
      </c>
      <c r="C329" s="114"/>
      <c r="D329" s="114"/>
      <c r="E329" s="114"/>
      <c r="F329" s="114"/>
      <c r="G329" s="114"/>
      <c r="H329" s="114"/>
      <c r="I329" s="114"/>
      <c r="J329" s="114"/>
      <c r="K329" s="114"/>
    </row>
    <row r="330" spans="1:12" x14ac:dyDescent="0.25">
      <c r="A330" s="114"/>
      <c r="B330" s="114"/>
      <c r="C330" s="114"/>
      <c r="D330" s="114"/>
      <c r="E330" s="114"/>
      <c r="F330" s="114"/>
      <c r="G330" s="114"/>
      <c r="H330" s="114"/>
      <c r="I330" s="114"/>
      <c r="J330" s="114"/>
      <c r="K330" s="114"/>
    </row>
    <row r="331" spans="1:12" ht="18" customHeight="1" x14ac:dyDescent="0.25">
      <c r="A331" s="114"/>
      <c r="B331" s="1911" t="str">
        <f>IF('Project information'!C7="Certification stage","• Have some water fixtures of the base building been replaced or altered?","• Will some water fixtures of the base building be replaced or altered?")</f>
        <v>• Have some water fixtures of the base building been replaced or altered?</v>
      </c>
      <c r="C331" s="1912"/>
      <c r="D331" s="1912"/>
      <c r="E331" s="1913"/>
      <c r="F331" s="733" t="s">
        <v>53</v>
      </c>
      <c r="G331" s="114"/>
      <c r="H331" s="114"/>
      <c r="I331" s="114"/>
      <c r="J331" s="114"/>
      <c r="K331" s="114"/>
    </row>
    <row r="332" spans="1:12" x14ac:dyDescent="0.25">
      <c r="A332" s="114"/>
      <c r="B332" s="114"/>
      <c r="C332" s="114"/>
      <c r="D332" s="114"/>
      <c r="E332" s="114"/>
      <c r="F332" s="114"/>
      <c r="G332" s="114"/>
      <c r="H332" s="114"/>
      <c r="I332" s="114"/>
      <c r="J332" s="114"/>
      <c r="K332" s="114"/>
    </row>
    <row r="333" spans="1:12" ht="26.25" customHeight="1" x14ac:dyDescent="0.25">
      <c r="A333" s="114"/>
      <c r="B333" s="756" t="s">
        <v>1166</v>
      </c>
      <c r="C333" s="1910" t="str">
        <f>IF('Project information'!C7="Certification stage","Water usage of the previous fixture","Water usage of the existing fixture")</f>
        <v>Water usage of the previous fixture</v>
      </c>
      <c r="D333" s="1910"/>
      <c r="E333" s="1910" t="str">
        <f>IF('Project information'!C7="Certification stage","Water usage of the new fixture","Water usage of the proposed fixture")</f>
        <v>Water usage of the new fixture</v>
      </c>
      <c r="F333" s="1910"/>
      <c r="G333" s="1910" t="s">
        <v>12</v>
      </c>
      <c r="H333" s="1892"/>
      <c r="I333" s="114"/>
      <c r="J333" s="114"/>
      <c r="K333" s="114"/>
    </row>
    <row r="334" spans="1:12" x14ac:dyDescent="0.25">
      <c r="A334" s="114"/>
      <c r="B334" s="755" t="s">
        <v>53</v>
      </c>
      <c r="C334" s="734"/>
      <c r="D334" s="758" t="str">
        <f>IF(OR($B334="Water-closet",$B334="Urinal"),"Litres per flush",IF(AND($B334&lt;&gt;"Select",$B334&lt;&gt;"Other"),"Litres per second",""))</f>
        <v/>
      </c>
      <c r="E334" s="734"/>
      <c r="F334" s="758" t="str">
        <f>IF(OR($B334="Water-closet",$B334="Urinal"),"Litres per flush",IF(AND($B334&lt;&gt;"Select",$B334&lt;&gt;"Other"),"Litres per second",""))</f>
        <v/>
      </c>
      <c r="G334" s="1925"/>
      <c r="H334" s="1926"/>
      <c r="I334" s="114"/>
      <c r="J334" s="114"/>
      <c r="K334" s="114"/>
      <c r="L334" s="35" t="str">
        <f>IF(B334="Select","/",IF(AND(E334="",C334=""),"/",IF(E334&lt;C334,"Yes","No")))</f>
        <v>/</v>
      </c>
    </row>
    <row r="335" spans="1:12" x14ac:dyDescent="0.25">
      <c r="A335" s="114"/>
      <c r="B335" s="755" t="s">
        <v>53</v>
      </c>
      <c r="C335" s="734"/>
      <c r="D335" s="758" t="str">
        <f t="shared" ref="D335:F338" si="12">IF(OR($B335="Water-closet",$B335="Urinal"),"Litres per flush",IF(AND($B335&lt;&gt;"Select",$B335&lt;&gt;"Other"),"Litres per second",""))</f>
        <v/>
      </c>
      <c r="E335" s="734"/>
      <c r="F335" s="758" t="str">
        <f t="shared" si="12"/>
        <v/>
      </c>
      <c r="G335" s="1925"/>
      <c r="H335" s="1926"/>
      <c r="I335" s="114"/>
      <c r="J335" s="114"/>
      <c r="K335" s="114"/>
      <c r="L335" s="35" t="str">
        <f t="shared" ref="L335:L338" si="13">IF(B335="Select","/",IF(AND(E335="",C335=""),"/",IF(E335&lt;C335,"Yes","No")))</f>
        <v>/</v>
      </c>
    </row>
    <row r="336" spans="1:12" x14ac:dyDescent="0.25">
      <c r="A336" s="114"/>
      <c r="B336" s="755" t="s">
        <v>53</v>
      </c>
      <c r="C336" s="734"/>
      <c r="D336" s="758" t="str">
        <f t="shared" si="12"/>
        <v/>
      </c>
      <c r="E336" s="734"/>
      <c r="F336" s="758" t="str">
        <f t="shared" si="12"/>
        <v/>
      </c>
      <c r="G336" s="1925"/>
      <c r="H336" s="1926"/>
      <c r="I336" s="114"/>
      <c r="J336" s="114"/>
      <c r="K336" s="114"/>
      <c r="L336" s="35" t="str">
        <f t="shared" si="13"/>
        <v>/</v>
      </c>
    </row>
    <row r="337" spans="1:12" x14ac:dyDescent="0.25">
      <c r="A337" s="114"/>
      <c r="B337" s="755" t="s">
        <v>53</v>
      </c>
      <c r="C337" s="734"/>
      <c r="D337" s="758" t="str">
        <f t="shared" si="12"/>
        <v/>
      </c>
      <c r="E337" s="734"/>
      <c r="F337" s="758" t="str">
        <f t="shared" si="12"/>
        <v/>
      </c>
      <c r="G337" s="1925"/>
      <c r="H337" s="1926"/>
      <c r="I337" s="114"/>
      <c r="J337" s="114"/>
      <c r="K337" s="114"/>
      <c r="L337" s="35" t="str">
        <f t="shared" si="13"/>
        <v>/</v>
      </c>
    </row>
    <row r="338" spans="1:12" x14ac:dyDescent="0.25">
      <c r="A338" s="114"/>
      <c r="B338" s="755" t="s">
        <v>53</v>
      </c>
      <c r="C338" s="734"/>
      <c r="D338" s="758" t="str">
        <f t="shared" si="12"/>
        <v/>
      </c>
      <c r="E338" s="734"/>
      <c r="F338" s="758" t="str">
        <f t="shared" si="12"/>
        <v/>
      </c>
      <c r="G338" s="1925"/>
      <c r="H338" s="1926"/>
      <c r="I338" s="114"/>
      <c r="J338" s="114"/>
      <c r="K338" s="114"/>
      <c r="L338" s="35" t="str">
        <f t="shared" si="13"/>
        <v>/</v>
      </c>
    </row>
    <row r="339" spans="1:12" ht="17.25" customHeight="1" x14ac:dyDescent="0.25">
      <c r="A339" s="114"/>
      <c r="B339" s="114"/>
      <c r="C339" s="114"/>
      <c r="D339" s="114"/>
      <c r="E339" s="114"/>
      <c r="F339" s="114"/>
      <c r="G339" s="114"/>
      <c r="H339" s="114"/>
      <c r="I339" s="114"/>
      <c r="J339" s="114"/>
      <c r="K339" s="114"/>
    </row>
    <row r="340" spans="1:12" ht="18" customHeight="1" x14ac:dyDescent="0.25">
      <c r="A340" s="114"/>
      <c r="B340" s="1896" t="s">
        <v>1254</v>
      </c>
      <c r="C340" s="1896"/>
      <c r="D340" s="1896"/>
      <c r="E340" s="60" t="str">
        <f>IF(AND(COUNTIF(L334:L338,"No")=0,COUNTIF(L334:L338,"Yes")&gt;0),"Yes","No")</f>
        <v>No</v>
      </c>
      <c r="F340" s="114"/>
      <c r="G340" s="114"/>
      <c r="H340" s="114"/>
      <c r="I340" s="114"/>
      <c r="J340" s="114"/>
      <c r="K340" s="114"/>
    </row>
    <row r="341" spans="1:12" ht="19.5" customHeight="1" x14ac:dyDescent="0.25">
      <c r="A341" s="114"/>
      <c r="B341" s="114"/>
      <c r="C341" s="114"/>
      <c r="D341" s="114"/>
      <c r="E341" s="114"/>
      <c r="F341" s="114"/>
      <c r="G341" s="114"/>
      <c r="H341" s="114"/>
      <c r="I341" s="114"/>
      <c r="J341" s="114"/>
      <c r="K341" s="114"/>
    </row>
    <row r="342" spans="1:12" ht="16.5" customHeight="1" x14ac:dyDescent="0.25">
      <c r="A342" s="1894" t="s">
        <v>84</v>
      </c>
      <c r="B342" s="1894"/>
      <c r="C342" s="1894"/>
      <c r="D342" s="118"/>
      <c r="E342" s="118"/>
      <c r="F342" s="118"/>
      <c r="G342" s="118"/>
      <c r="H342" s="118"/>
      <c r="I342" s="118"/>
      <c r="J342" s="118"/>
      <c r="K342" s="118"/>
    </row>
    <row r="343" spans="1:12" ht="16.5" customHeight="1" x14ac:dyDescent="0.25">
      <c r="A343" s="667"/>
      <c r="B343" s="114"/>
      <c r="C343" s="114"/>
      <c r="D343" s="114"/>
      <c r="E343" s="114"/>
      <c r="F343" s="114"/>
      <c r="G343" s="114"/>
      <c r="H343" s="114"/>
      <c r="I343" s="667"/>
      <c r="J343" s="667"/>
      <c r="K343" s="667"/>
    </row>
    <row r="344" spans="1:12" ht="21" customHeight="1" x14ac:dyDescent="0.25">
      <c r="A344" s="667"/>
      <c r="B344" s="1897" t="s">
        <v>85</v>
      </c>
      <c r="C344" s="1898"/>
      <c r="D344" s="1898"/>
      <c r="E344" s="1898"/>
      <c r="F344" s="1898"/>
      <c r="G344" s="740" t="s">
        <v>907</v>
      </c>
      <c r="H344" s="1899" t="s">
        <v>908</v>
      </c>
      <c r="I344" s="1899"/>
      <c r="J344" s="667"/>
      <c r="K344" s="667"/>
    </row>
    <row r="345" spans="1:12" ht="30" customHeight="1" x14ac:dyDescent="0.25">
      <c r="A345" s="667"/>
      <c r="B345" s="1648" t="str">
        <f>Submittals!G51</f>
        <v>• Manufacturer's data of all the water efficient fixtures installed showing the water usage of the fixtures (flowrates or flush volumes) - OR -
• Test measurements results showing the water usage of the fixtures (flowrates or flush volumes) of all the water fixtures installed</v>
      </c>
      <c r="C345" s="1649"/>
      <c r="D345" s="1649"/>
      <c r="E345" s="1649"/>
      <c r="F345" s="1649"/>
      <c r="G345" s="733" t="s">
        <v>53</v>
      </c>
      <c r="H345" s="1689"/>
      <c r="I345" s="1736"/>
      <c r="J345" s="667"/>
      <c r="K345" s="667"/>
      <c r="L345" s="35" t="str">
        <f>IF(OR(B345="/",B345="No evidence required at this submission stage"),"Yes",IF(G345="Submitted","Yes","No"))</f>
        <v>No</v>
      </c>
    </row>
    <row r="346" spans="1:12" ht="24" customHeight="1" x14ac:dyDescent="0.25">
      <c r="A346" s="667"/>
      <c r="B346" s="1648" t="str">
        <f>Submittals!G52</f>
        <v>• Evidence that the water efficient fixtures have been installed such as photographs, receipts, delivery order, etc.</v>
      </c>
      <c r="C346" s="1649"/>
      <c r="D346" s="1649"/>
      <c r="E346" s="1649"/>
      <c r="F346" s="1649"/>
      <c r="G346" s="733" t="s">
        <v>53</v>
      </c>
      <c r="H346" s="1689"/>
      <c r="I346" s="1736"/>
      <c r="J346" s="667"/>
      <c r="K346" s="667"/>
      <c r="L346" s="35" t="str">
        <f t="shared" ref="L346" si="14">IF(OR(B346="/",B346="No evidence required at this submission stage"),"Yes",IF(G346="Submitted","Yes","No"))</f>
        <v>No</v>
      </c>
    </row>
    <row r="347" spans="1:12" ht="19.5" customHeight="1" x14ac:dyDescent="0.25">
      <c r="A347" s="667"/>
      <c r="B347" s="114"/>
      <c r="C347" s="667"/>
      <c r="D347" s="667"/>
      <c r="E347" s="667"/>
      <c r="F347" s="667"/>
      <c r="G347" s="667"/>
      <c r="H347" s="667"/>
      <c r="I347" s="667"/>
      <c r="J347" s="667"/>
      <c r="K347" s="667"/>
    </row>
    <row r="348" spans="1:12" ht="16.5" customHeight="1" x14ac:dyDescent="0.25">
      <c r="A348" s="1894" t="s">
        <v>5</v>
      </c>
      <c r="B348" s="1894"/>
      <c r="C348" s="1894"/>
      <c r="D348" s="667"/>
      <c r="E348" s="667"/>
      <c r="F348" s="667"/>
      <c r="G348" s="667"/>
      <c r="H348" s="667"/>
      <c r="I348" s="667"/>
      <c r="J348" s="667"/>
      <c r="K348" s="667"/>
    </row>
    <row r="349" spans="1:12" x14ac:dyDescent="0.25">
      <c r="A349" s="667"/>
      <c r="B349" s="114"/>
      <c r="C349" s="114"/>
      <c r="D349" s="114"/>
      <c r="E349" s="114"/>
      <c r="F349" s="114"/>
      <c r="G349" s="114"/>
      <c r="H349" s="114"/>
      <c r="I349" s="114"/>
      <c r="J349" s="114"/>
      <c r="K349" s="114"/>
    </row>
    <row r="350" spans="1:12" ht="18" customHeight="1" x14ac:dyDescent="0.25">
      <c r="A350" s="667"/>
      <c r="B350" s="106" t="s">
        <v>16</v>
      </c>
      <c r="C350" s="8">
        <f>IF(F13="Yes",0,IF(E340="Yes",1,0))</f>
        <v>0</v>
      </c>
      <c r="D350" s="667"/>
      <c r="E350" s="667"/>
      <c r="F350" s="667"/>
      <c r="G350" s="667"/>
      <c r="H350" s="667"/>
      <c r="I350" s="667"/>
      <c r="J350" s="667"/>
      <c r="K350" s="667"/>
    </row>
    <row r="351" spans="1:12" ht="18" customHeight="1" collapsed="1" x14ac:dyDescent="0.25">
      <c r="A351" s="667"/>
      <c r="B351" s="113" t="s">
        <v>133</v>
      </c>
      <c r="C351" s="757" t="str">
        <f>IF(F13="Yes","No",IF(AND(COUNTIF(L345:L346,"Yes")=2,C350&gt;0),"Yes","No"))</f>
        <v>No</v>
      </c>
      <c r="D351" s="667"/>
      <c r="E351" s="667"/>
      <c r="F351" s="667"/>
      <c r="G351" s="667"/>
      <c r="H351" s="667"/>
      <c r="I351" s="667"/>
      <c r="J351" s="667"/>
      <c r="K351" s="667"/>
    </row>
    <row r="352" spans="1:12" ht="24" customHeight="1" x14ac:dyDescent="0.25">
      <c r="A352" s="667"/>
      <c r="B352" s="114"/>
      <c r="C352" s="118"/>
      <c r="D352" s="114"/>
      <c r="E352" s="114"/>
      <c r="F352" s="114"/>
      <c r="G352" s="114"/>
      <c r="H352" s="114"/>
      <c r="I352" s="114"/>
      <c r="J352" s="114"/>
      <c r="K352" s="114"/>
    </row>
    <row r="353" spans="1:16" ht="18" customHeight="1" x14ac:dyDescent="0.25">
      <c r="A353" s="1909" t="s">
        <v>1260</v>
      </c>
      <c r="B353" s="1909"/>
      <c r="C353" s="1909"/>
      <c r="D353" s="1909"/>
      <c r="E353" s="1909"/>
      <c r="F353" s="1909"/>
      <c r="G353" s="1909"/>
      <c r="H353" s="1909"/>
      <c r="I353" s="1909"/>
      <c r="J353" s="1909"/>
      <c r="K353" s="1909"/>
    </row>
    <row r="354" spans="1:16" ht="15" customHeight="1" x14ac:dyDescent="0.25">
      <c r="A354" s="667"/>
      <c r="B354" s="114"/>
      <c r="C354" s="114"/>
      <c r="D354" s="114"/>
      <c r="E354" s="114"/>
      <c r="F354" s="114"/>
      <c r="G354" s="114"/>
      <c r="H354" s="114"/>
      <c r="I354" s="114"/>
      <c r="J354" s="114"/>
      <c r="K354" s="114"/>
    </row>
    <row r="355" spans="1:16" ht="16.5" customHeight="1" x14ac:dyDescent="0.25">
      <c r="A355" s="1894" t="s">
        <v>102</v>
      </c>
      <c r="B355" s="1894"/>
      <c r="C355" s="1894"/>
      <c r="D355" s="114"/>
      <c r="E355" s="114"/>
      <c r="F355" s="114"/>
      <c r="G355" s="114"/>
      <c r="H355" s="114"/>
      <c r="I355" s="114"/>
      <c r="J355" s="114"/>
      <c r="K355" s="114"/>
    </row>
    <row r="356" spans="1:16" ht="15" customHeight="1" x14ac:dyDescent="0.25">
      <c r="A356" s="667"/>
      <c r="B356" s="114"/>
      <c r="C356" s="114"/>
      <c r="D356" s="114"/>
      <c r="E356" s="114"/>
      <c r="F356" s="114"/>
      <c r="G356" s="114"/>
      <c r="H356" s="114"/>
      <c r="I356" s="114"/>
      <c r="J356" s="114"/>
      <c r="K356" s="114"/>
    </row>
    <row r="357" spans="1:16" ht="15" customHeight="1" x14ac:dyDescent="0.25">
      <c r="A357" s="667"/>
      <c r="B357" s="759" t="s">
        <v>1100</v>
      </c>
      <c r="C357" s="114"/>
      <c r="D357" s="114"/>
      <c r="E357" s="114"/>
      <c r="F357" s="114"/>
      <c r="G357" s="114"/>
      <c r="H357" s="114"/>
      <c r="I357" s="114"/>
      <c r="J357" s="114"/>
      <c r="K357" s="114"/>
    </row>
    <row r="358" spans="1:16" ht="15" customHeight="1" x14ac:dyDescent="0.25">
      <c r="A358" s="667"/>
      <c r="B358" s="114"/>
      <c r="C358" s="114"/>
      <c r="D358" s="114"/>
      <c r="E358" s="114"/>
      <c r="F358" s="114"/>
      <c r="G358" s="114"/>
      <c r="H358" s="114"/>
      <c r="I358" s="114"/>
      <c r="J358" s="114"/>
      <c r="K358" s="114"/>
    </row>
    <row r="359" spans="1:16" ht="15" customHeight="1" x14ac:dyDescent="0.25">
      <c r="A359" s="667"/>
      <c r="B359" s="759" t="s">
        <v>1261</v>
      </c>
      <c r="C359" s="114"/>
      <c r="D359" s="114"/>
      <c r="E359" s="114"/>
      <c r="F359" s="114"/>
      <c r="G359" s="114"/>
      <c r="H359" s="114"/>
      <c r="I359" s="114"/>
      <c r="J359" s="114"/>
      <c r="K359" s="114"/>
    </row>
    <row r="360" spans="1:16" ht="17.25" customHeight="1" x14ac:dyDescent="0.25">
      <c r="A360" s="667"/>
      <c r="B360" s="114"/>
      <c r="C360" s="114"/>
      <c r="D360" s="114"/>
      <c r="E360" s="114"/>
      <c r="F360" s="114"/>
      <c r="G360" s="114"/>
      <c r="H360" s="114"/>
      <c r="I360" s="114"/>
      <c r="J360" s="114"/>
      <c r="K360" s="114"/>
    </row>
    <row r="361" spans="1:16" x14ac:dyDescent="0.25">
      <c r="A361" s="114"/>
      <c r="B361" s="1889" t="s">
        <v>1165</v>
      </c>
      <c r="C361" s="1889"/>
      <c r="D361" s="1889"/>
      <c r="E361" s="1889"/>
      <c r="F361" s="114"/>
      <c r="G361" s="114"/>
      <c r="H361" s="114"/>
      <c r="I361" s="114"/>
      <c r="J361" s="114"/>
      <c r="K361" s="114"/>
      <c r="M361" s="35" t="s">
        <v>53</v>
      </c>
    </row>
    <row r="362" spans="1:16" ht="21" customHeight="1" x14ac:dyDescent="0.25">
      <c r="A362" s="114"/>
      <c r="B362" s="1890" t="s">
        <v>282</v>
      </c>
      <c r="C362" s="1891"/>
      <c r="D362" s="1892" t="s">
        <v>633</v>
      </c>
      <c r="E362" s="1890"/>
      <c r="F362" s="114"/>
      <c r="G362" s="114"/>
      <c r="H362" s="114"/>
      <c r="I362" s="114"/>
      <c r="J362" s="114"/>
      <c r="K362" s="114"/>
      <c r="M362" s="727" t="s">
        <v>1185</v>
      </c>
      <c r="N362" s="35" t="s">
        <v>1178</v>
      </c>
      <c r="O362" s="729" t="s">
        <v>284</v>
      </c>
      <c r="P362" s="729"/>
    </row>
    <row r="363" spans="1:16" ht="15.75" customHeight="1" x14ac:dyDescent="0.25">
      <c r="A363" s="114"/>
      <c r="B363" s="1893" t="s">
        <v>283</v>
      </c>
      <c r="C363" s="1893"/>
      <c r="D363" s="1893"/>
      <c r="E363" s="1893"/>
      <c r="F363" s="114"/>
      <c r="G363" s="114"/>
      <c r="H363" s="114"/>
      <c r="I363" s="114"/>
      <c r="J363" s="114"/>
      <c r="K363" s="114"/>
      <c r="M363" s="35" t="s">
        <v>285</v>
      </c>
      <c r="N363" s="35" t="s">
        <v>1184</v>
      </c>
      <c r="O363" s="729" t="s">
        <v>286</v>
      </c>
      <c r="P363" s="729">
        <v>120</v>
      </c>
    </row>
    <row r="364" spans="1:16" ht="30.75" customHeight="1" x14ac:dyDescent="0.25">
      <c r="A364" s="114"/>
      <c r="B364" s="1887" t="s">
        <v>314</v>
      </c>
      <c r="C364" s="1887"/>
      <c r="D364" s="1887" t="s">
        <v>284</v>
      </c>
      <c r="E364" s="1887"/>
      <c r="F364" s="114"/>
      <c r="G364" s="114"/>
      <c r="H364" s="114"/>
      <c r="I364" s="114"/>
      <c r="J364" s="114"/>
      <c r="K364" s="114"/>
      <c r="M364" s="35" t="s">
        <v>288</v>
      </c>
      <c r="N364" s="35" t="s">
        <v>1180</v>
      </c>
      <c r="O364" s="729" t="s">
        <v>289</v>
      </c>
      <c r="P364" s="729">
        <v>1000</v>
      </c>
    </row>
    <row r="365" spans="1:16" ht="15.75" customHeight="1" x14ac:dyDescent="0.25">
      <c r="A365" s="114"/>
      <c r="B365" s="1887" t="s">
        <v>285</v>
      </c>
      <c r="C365" s="1887"/>
      <c r="D365" s="1887" t="s">
        <v>286</v>
      </c>
      <c r="E365" s="1887"/>
      <c r="F365" s="114"/>
      <c r="G365" s="114"/>
      <c r="H365" s="114"/>
      <c r="I365" s="114"/>
      <c r="J365" s="114"/>
      <c r="K365" s="114"/>
      <c r="M365" s="35" t="s">
        <v>290</v>
      </c>
      <c r="N365" s="35" t="s">
        <v>1179</v>
      </c>
      <c r="O365" s="729" t="s">
        <v>291</v>
      </c>
      <c r="P365" s="729">
        <v>4.9000000000000004</v>
      </c>
    </row>
    <row r="366" spans="1:16" ht="15.75" customHeight="1" x14ac:dyDescent="0.25">
      <c r="A366" s="114"/>
      <c r="B366" s="1893" t="s">
        <v>287</v>
      </c>
      <c r="C366" s="1893"/>
      <c r="D366" s="1893"/>
      <c r="E366" s="1893"/>
      <c r="F366" s="114"/>
      <c r="G366" s="114"/>
      <c r="H366" s="114"/>
      <c r="I366" s="114"/>
      <c r="J366" s="114"/>
      <c r="K366" s="114"/>
      <c r="M366" s="35" t="s">
        <v>292</v>
      </c>
      <c r="N366" s="35" t="s">
        <v>1178</v>
      </c>
      <c r="O366" s="729" t="s">
        <v>293</v>
      </c>
      <c r="P366" s="729"/>
    </row>
    <row r="367" spans="1:16" ht="15" customHeight="1" x14ac:dyDescent="0.25">
      <c r="A367" s="114"/>
      <c r="B367" s="1887" t="s">
        <v>288</v>
      </c>
      <c r="C367" s="1887"/>
      <c r="D367" s="1887" t="s">
        <v>289</v>
      </c>
      <c r="E367" s="1887"/>
      <c r="F367" s="114"/>
      <c r="G367" s="114"/>
      <c r="H367" s="114"/>
      <c r="I367" s="114"/>
      <c r="J367" s="114"/>
      <c r="K367" s="114"/>
      <c r="M367" s="35" t="s">
        <v>1168</v>
      </c>
      <c r="N367" s="35" t="s">
        <v>1177</v>
      </c>
      <c r="O367" s="729" t="s">
        <v>296</v>
      </c>
      <c r="P367" s="729">
        <v>6</v>
      </c>
    </row>
    <row r="368" spans="1:16" ht="15.75" customHeight="1" x14ac:dyDescent="0.25">
      <c r="A368" s="114"/>
      <c r="B368" s="1887" t="s">
        <v>290</v>
      </c>
      <c r="C368" s="1887"/>
      <c r="D368" s="1887" t="s">
        <v>291</v>
      </c>
      <c r="E368" s="1887"/>
      <c r="F368" s="114"/>
      <c r="G368" s="114"/>
      <c r="H368" s="114"/>
      <c r="I368" s="114"/>
      <c r="J368" s="114"/>
      <c r="K368" s="114"/>
      <c r="M368" s="35" t="s">
        <v>1176</v>
      </c>
      <c r="N368" s="35" t="s">
        <v>1177</v>
      </c>
      <c r="O368" s="729" t="s">
        <v>298</v>
      </c>
      <c r="P368" s="729">
        <v>5.3</v>
      </c>
    </row>
    <row r="369" spans="1:16" ht="54" customHeight="1" x14ac:dyDescent="0.25">
      <c r="A369" s="114"/>
      <c r="B369" s="1887" t="s">
        <v>292</v>
      </c>
      <c r="C369" s="1887"/>
      <c r="D369" s="1887" t="s">
        <v>293</v>
      </c>
      <c r="E369" s="1887"/>
      <c r="F369" s="114"/>
      <c r="G369" s="114"/>
      <c r="H369" s="114"/>
      <c r="I369" s="114"/>
      <c r="J369" s="114"/>
      <c r="K369" s="114"/>
      <c r="M369" s="35" t="s">
        <v>1175</v>
      </c>
      <c r="N369" s="35" t="s">
        <v>1181</v>
      </c>
      <c r="O369" s="729" t="s">
        <v>300</v>
      </c>
      <c r="P369" s="729">
        <v>3.8</v>
      </c>
    </row>
    <row r="370" spans="1:16" ht="15" customHeight="1" x14ac:dyDescent="0.25">
      <c r="A370" s="114"/>
      <c r="B370" s="1893" t="s">
        <v>294</v>
      </c>
      <c r="C370" s="1893"/>
      <c r="D370" s="1893"/>
      <c r="E370" s="1893"/>
      <c r="F370" s="114"/>
      <c r="G370" s="114"/>
      <c r="H370" s="114"/>
      <c r="I370" s="114"/>
      <c r="J370" s="114"/>
      <c r="K370" s="114"/>
      <c r="M370" s="35" t="s">
        <v>1174</v>
      </c>
      <c r="N370" s="35" t="s">
        <v>1181</v>
      </c>
      <c r="O370" s="729" t="s">
        <v>302</v>
      </c>
      <c r="P370" s="729">
        <v>3.4</v>
      </c>
    </row>
    <row r="371" spans="1:16" ht="15" customHeight="1" x14ac:dyDescent="0.25">
      <c r="A371" s="114"/>
      <c r="B371" s="1888" t="s">
        <v>243</v>
      </c>
      <c r="C371" s="739" t="s">
        <v>295</v>
      </c>
      <c r="D371" s="1887" t="s">
        <v>296</v>
      </c>
      <c r="E371" s="1887"/>
      <c r="F371" s="114"/>
      <c r="G371" s="114"/>
      <c r="H371" s="114"/>
      <c r="I371" s="114"/>
      <c r="J371" s="114"/>
      <c r="K371" s="114"/>
      <c r="M371" s="35" t="s">
        <v>1173</v>
      </c>
      <c r="N371" s="35" t="s">
        <v>1182</v>
      </c>
      <c r="O371" s="729" t="s">
        <v>304</v>
      </c>
      <c r="P371" s="729">
        <v>680</v>
      </c>
    </row>
    <row r="372" spans="1:16" ht="25.5" x14ac:dyDescent="0.25">
      <c r="A372" s="114"/>
      <c r="B372" s="1888"/>
      <c r="C372" s="739" t="s">
        <v>297</v>
      </c>
      <c r="D372" s="1887" t="s">
        <v>298</v>
      </c>
      <c r="E372" s="1887"/>
      <c r="F372" s="114"/>
      <c r="G372" s="114"/>
      <c r="H372" s="114"/>
      <c r="I372" s="114"/>
      <c r="J372" s="114"/>
      <c r="K372" s="114"/>
      <c r="M372" s="35" t="s">
        <v>1171</v>
      </c>
      <c r="N372" s="35" t="s">
        <v>1183</v>
      </c>
      <c r="O372" s="729" t="s">
        <v>307</v>
      </c>
      <c r="P372" s="729">
        <v>23</v>
      </c>
    </row>
    <row r="373" spans="1:16" ht="15" customHeight="1" x14ac:dyDescent="0.25">
      <c r="A373" s="114"/>
      <c r="B373" s="1888"/>
      <c r="C373" s="739" t="s">
        <v>299</v>
      </c>
      <c r="D373" s="1887" t="s">
        <v>300</v>
      </c>
      <c r="E373" s="1887"/>
      <c r="F373" s="114"/>
      <c r="G373" s="114"/>
      <c r="H373" s="114"/>
      <c r="I373" s="114"/>
      <c r="J373" s="114"/>
      <c r="K373" s="114"/>
      <c r="M373" s="35" t="s">
        <v>1172</v>
      </c>
      <c r="N373" s="35" t="s">
        <v>1183</v>
      </c>
      <c r="O373" s="729" t="s">
        <v>309</v>
      </c>
      <c r="P373" s="729">
        <v>38</v>
      </c>
    </row>
    <row r="374" spans="1:16" ht="15" customHeight="1" x14ac:dyDescent="0.25">
      <c r="A374" s="114"/>
      <c r="B374" s="1888"/>
      <c r="C374" s="739" t="s">
        <v>301</v>
      </c>
      <c r="D374" s="1887" t="s">
        <v>302</v>
      </c>
      <c r="E374" s="1887"/>
      <c r="F374" s="114"/>
      <c r="G374" s="114"/>
      <c r="H374" s="114"/>
      <c r="I374" s="114"/>
      <c r="J374" s="114"/>
      <c r="K374" s="114"/>
      <c r="M374" s="35" t="s">
        <v>1170</v>
      </c>
      <c r="N374" s="35" t="s">
        <v>1183</v>
      </c>
      <c r="O374" s="729" t="s">
        <v>312</v>
      </c>
      <c r="P374" s="729">
        <v>13</v>
      </c>
    </row>
    <row r="375" spans="1:16" ht="15" customHeight="1" x14ac:dyDescent="0.25">
      <c r="A375" s="114"/>
      <c r="B375" s="1888"/>
      <c r="C375" s="739" t="s">
        <v>303</v>
      </c>
      <c r="D375" s="1887" t="s">
        <v>304</v>
      </c>
      <c r="E375" s="1887"/>
      <c r="F375" s="114"/>
      <c r="G375" s="114"/>
      <c r="H375" s="114"/>
      <c r="I375" s="114"/>
      <c r="J375" s="114"/>
      <c r="K375" s="114"/>
      <c r="M375" s="35" t="s">
        <v>1169</v>
      </c>
      <c r="N375" s="35" t="s">
        <v>1183</v>
      </c>
      <c r="O375" s="729" t="s">
        <v>312</v>
      </c>
      <c r="P375" s="729">
        <v>13</v>
      </c>
    </row>
    <row r="376" spans="1:16" x14ac:dyDescent="0.25">
      <c r="A376" s="114"/>
      <c r="B376" s="1888" t="s">
        <v>305</v>
      </c>
      <c r="C376" s="739" t="s">
        <v>306</v>
      </c>
      <c r="D376" s="1887" t="s">
        <v>307</v>
      </c>
      <c r="E376" s="1887"/>
      <c r="F376" s="114"/>
      <c r="G376" s="114"/>
      <c r="H376" s="114"/>
      <c r="I376" s="114"/>
      <c r="J376" s="114"/>
      <c r="K376" s="114"/>
    </row>
    <row r="377" spans="1:16" x14ac:dyDescent="0.25">
      <c r="A377" s="114"/>
      <c r="B377" s="1888"/>
      <c r="C377" s="739" t="s">
        <v>308</v>
      </c>
      <c r="D377" s="1887" t="s">
        <v>309</v>
      </c>
      <c r="E377" s="1887"/>
      <c r="F377" s="114"/>
      <c r="G377" s="114"/>
      <c r="H377" s="114"/>
      <c r="I377" s="114"/>
      <c r="J377" s="114"/>
      <c r="K377" s="114"/>
    </row>
    <row r="378" spans="1:16" x14ac:dyDescent="0.25">
      <c r="A378" s="114"/>
      <c r="B378" s="1888" t="s">
        <v>310</v>
      </c>
      <c r="C378" s="739" t="s">
        <v>311</v>
      </c>
      <c r="D378" s="1887" t="s">
        <v>312</v>
      </c>
      <c r="E378" s="1887"/>
      <c r="F378" s="114"/>
      <c r="G378" s="114"/>
      <c r="H378" s="114"/>
      <c r="I378" s="114"/>
      <c r="J378" s="114"/>
      <c r="K378" s="114"/>
    </row>
    <row r="379" spans="1:16" x14ac:dyDescent="0.25">
      <c r="A379" s="114"/>
      <c r="B379" s="1888"/>
      <c r="C379" s="739" t="s">
        <v>313</v>
      </c>
      <c r="D379" s="1887" t="s">
        <v>312</v>
      </c>
      <c r="E379" s="1887"/>
      <c r="F379" s="114"/>
      <c r="G379" s="114"/>
      <c r="H379" s="114"/>
      <c r="I379" s="114"/>
      <c r="J379" s="114"/>
      <c r="K379" s="114"/>
    </row>
    <row r="380" spans="1:16" x14ac:dyDescent="0.25">
      <c r="A380" s="114"/>
      <c r="B380" s="114"/>
      <c r="C380" s="114"/>
      <c r="D380" s="114"/>
      <c r="E380" s="114"/>
      <c r="F380" s="114"/>
      <c r="G380" s="114"/>
      <c r="H380" s="114"/>
      <c r="I380" s="114"/>
      <c r="J380" s="114"/>
      <c r="K380" s="114"/>
    </row>
    <row r="381" spans="1:16" x14ac:dyDescent="0.25">
      <c r="A381" s="114"/>
      <c r="B381" s="572" t="s">
        <v>1186</v>
      </c>
      <c r="C381" s="114"/>
      <c r="D381" s="114"/>
      <c r="E381" s="114"/>
      <c r="F381" s="114"/>
      <c r="G381" s="114"/>
      <c r="H381" s="114"/>
      <c r="I381" s="114"/>
      <c r="J381" s="114"/>
      <c r="K381" s="114"/>
    </row>
    <row r="382" spans="1:16" x14ac:dyDescent="0.25">
      <c r="A382" s="114"/>
      <c r="B382" s="114"/>
      <c r="C382" s="114"/>
      <c r="D382" s="114"/>
      <c r="E382" s="114"/>
      <c r="F382" s="114"/>
      <c r="G382" s="114"/>
      <c r="H382" s="114"/>
      <c r="I382" s="114"/>
      <c r="J382" s="114"/>
      <c r="K382" s="114"/>
    </row>
    <row r="383" spans="1:16" ht="18" customHeight="1" x14ac:dyDescent="0.25">
      <c r="A383" s="114"/>
      <c r="B383" s="1901" t="s">
        <v>67</v>
      </c>
      <c r="C383" s="1902"/>
      <c r="D383" s="1160" t="s">
        <v>135</v>
      </c>
      <c r="E383" s="1883" t="s">
        <v>1167</v>
      </c>
      <c r="F383" s="1884"/>
      <c r="G383" s="1883" t="s">
        <v>633</v>
      </c>
      <c r="H383" s="1884"/>
      <c r="I383" s="1148" t="s">
        <v>77</v>
      </c>
      <c r="J383" s="114"/>
      <c r="K383" s="114"/>
    </row>
    <row r="384" spans="1:16" ht="26.1" customHeight="1" x14ac:dyDescent="0.25">
      <c r="A384" s="114"/>
      <c r="B384" s="1900" t="s">
        <v>53</v>
      </c>
      <c r="C384" s="1900"/>
      <c r="D384" s="1147"/>
      <c r="E384" s="1147"/>
      <c r="F384" s="728" t="str">
        <f t="shared" ref="F384:F391" si="15">IF(VLOOKUP(B384,$M$207:$N$221,2,FALSE)=0,"",VLOOKUP(B384,$M$207:$N$221,2,FALSE))</f>
        <v/>
      </c>
      <c r="G384" s="1885" t="str">
        <f t="shared" ref="G384:G391" si="16">IFERROR(VLOOKUP(B384,$M$208:$O$221,3,FALSE),"")</f>
        <v/>
      </c>
      <c r="H384" s="1886"/>
      <c r="I384" s="1149" t="str">
        <f>IF(B384="Select","",IF(E384="","No",IF(OR(AND(F384="ENERGY STAR or equivalent",E384="Compliant"),E384&lt;=VLOOKUP(B384,$M$207:$P$221,4,FALSE)),"Yes","No")))</f>
        <v/>
      </c>
      <c r="J384" s="114"/>
      <c r="K384" s="114"/>
    </row>
    <row r="385" spans="1:13" ht="26.1" customHeight="1" x14ac:dyDescent="0.25">
      <c r="A385" s="114"/>
      <c r="B385" s="1900" t="s">
        <v>53</v>
      </c>
      <c r="C385" s="1900"/>
      <c r="D385" s="1147"/>
      <c r="E385" s="1147"/>
      <c r="F385" s="728" t="str">
        <f t="shared" si="15"/>
        <v/>
      </c>
      <c r="G385" s="1880" t="str">
        <f t="shared" si="16"/>
        <v/>
      </c>
      <c r="H385" s="1881"/>
      <c r="I385" s="1149" t="str">
        <f t="shared" ref="I385:I391" si="17">IF(B385="Select","",IF(E385="","No",IF(OR(E385="Compliant",E385&lt;=VLOOKUP(B385,$M$207:$P$221,4,FALSE)),"Yes","No")))</f>
        <v/>
      </c>
      <c r="J385" s="114"/>
      <c r="K385" s="114"/>
    </row>
    <row r="386" spans="1:13" ht="26.1" customHeight="1" x14ac:dyDescent="0.25">
      <c r="A386" s="114"/>
      <c r="B386" s="1900" t="s">
        <v>53</v>
      </c>
      <c r="C386" s="1900"/>
      <c r="D386" s="1147"/>
      <c r="E386" s="1147"/>
      <c r="F386" s="728" t="str">
        <f t="shared" si="15"/>
        <v/>
      </c>
      <c r="G386" s="1880" t="str">
        <f t="shared" si="16"/>
        <v/>
      </c>
      <c r="H386" s="1881"/>
      <c r="I386" s="1149" t="str">
        <f t="shared" si="17"/>
        <v/>
      </c>
      <c r="J386" s="114"/>
      <c r="K386" s="114"/>
    </row>
    <row r="387" spans="1:13" ht="26.1" customHeight="1" x14ac:dyDescent="0.25">
      <c r="A387" s="114"/>
      <c r="B387" s="1900" t="s">
        <v>53</v>
      </c>
      <c r="C387" s="1900"/>
      <c r="D387" s="1147"/>
      <c r="E387" s="1147"/>
      <c r="F387" s="728" t="str">
        <f t="shared" si="15"/>
        <v/>
      </c>
      <c r="G387" s="1880" t="str">
        <f t="shared" si="16"/>
        <v/>
      </c>
      <c r="H387" s="1881"/>
      <c r="I387" s="1149" t="str">
        <f t="shared" si="17"/>
        <v/>
      </c>
      <c r="J387" s="114"/>
      <c r="K387" s="114"/>
    </row>
    <row r="388" spans="1:13" ht="26.1" customHeight="1" x14ac:dyDescent="0.25">
      <c r="A388" s="114"/>
      <c r="B388" s="1900" t="s">
        <v>53</v>
      </c>
      <c r="C388" s="1900"/>
      <c r="D388" s="1147"/>
      <c r="E388" s="1147"/>
      <c r="F388" s="728" t="str">
        <f t="shared" si="15"/>
        <v/>
      </c>
      <c r="G388" s="1880" t="str">
        <f t="shared" si="16"/>
        <v/>
      </c>
      <c r="H388" s="1881"/>
      <c r="I388" s="1149" t="str">
        <f t="shared" si="17"/>
        <v/>
      </c>
      <c r="J388" s="114"/>
      <c r="K388" s="114"/>
    </row>
    <row r="389" spans="1:13" ht="26.1" customHeight="1" x14ac:dyDescent="0.25">
      <c r="A389" s="114"/>
      <c r="B389" s="1900" t="s">
        <v>53</v>
      </c>
      <c r="C389" s="1900"/>
      <c r="D389" s="1147"/>
      <c r="E389" s="1147"/>
      <c r="F389" s="728" t="str">
        <f t="shared" si="15"/>
        <v/>
      </c>
      <c r="G389" s="1880" t="str">
        <f t="shared" si="16"/>
        <v/>
      </c>
      <c r="H389" s="1881"/>
      <c r="I389" s="1149" t="str">
        <f t="shared" si="17"/>
        <v/>
      </c>
      <c r="J389" s="114"/>
      <c r="K389" s="114"/>
    </row>
    <row r="390" spans="1:13" ht="26.1" customHeight="1" x14ac:dyDescent="0.25">
      <c r="A390" s="114"/>
      <c r="B390" s="1900" t="s">
        <v>53</v>
      </c>
      <c r="C390" s="1900"/>
      <c r="D390" s="1147"/>
      <c r="E390" s="1147"/>
      <c r="F390" s="728" t="str">
        <f t="shared" si="15"/>
        <v/>
      </c>
      <c r="G390" s="1880" t="str">
        <f t="shared" si="16"/>
        <v/>
      </c>
      <c r="H390" s="1881"/>
      <c r="I390" s="1149" t="str">
        <f t="shared" si="17"/>
        <v/>
      </c>
      <c r="J390" s="114"/>
      <c r="K390" s="114"/>
    </row>
    <row r="391" spans="1:13" ht="26.1" customHeight="1" x14ac:dyDescent="0.25">
      <c r="A391" s="114"/>
      <c r="B391" s="1900" t="s">
        <v>53</v>
      </c>
      <c r="C391" s="1900"/>
      <c r="D391" s="1147"/>
      <c r="E391" s="1147"/>
      <c r="F391" s="728" t="str">
        <f t="shared" si="15"/>
        <v/>
      </c>
      <c r="G391" s="1880" t="str">
        <f t="shared" si="16"/>
        <v/>
      </c>
      <c r="H391" s="1881"/>
      <c r="I391" s="1149" t="str">
        <f t="shared" si="17"/>
        <v/>
      </c>
      <c r="J391" s="114"/>
      <c r="K391" s="114"/>
    </row>
    <row r="392" spans="1:13" x14ac:dyDescent="0.25">
      <c r="A392" s="114"/>
      <c r="B392" s="114"/>
      <c r="C392" s="114"/>
      <c r="D392" s="114"/>
      <c r="E392" s="114"/>
      <c r="F392" s="114"/>
      <c r="G392" s="114"/>
      <c r="H392" s="114"/>
      <c r="I392" s="114"/>
      <c r="J392" s="114"/>
      <c r="K392" s="114"/>
    </row>
    <row r="393" spans="1:13" ht="19.5" customHeight="1" x14ac:dyDescent="0.25">
      <c r="A393" s="114"/>
      <c r="B393" s="1896" t="s">
        <v>1262</v>
      </c>
      <c r="C393" s="1896"/>
      <c r="D393" s="1896"/>
      <c r="E393" s="60" t="str">
        <f>IF(COUNTIF(I384:I391,"No")&gt;0,"No",IF(COUNTIF(I384:I391,"Yes")&gt;0,"Yes","No"))</f>
        <v>No</v>
      </c>
      <c r="F393" s="114"/>
      <c r="G393" s="114"/>
      <c r="H393" s="114"/>
      <c r="I393" s="114"/>
      <c r="J393" s="114"/>
      <c r="K393" s="114"/>
    </row>
    <row r="394" spans="1:13" ht="19.5" customHeight="1" x14ac:dyDescent="0.25">
      <c r="A394" s="114"/>
      <c r="B394" s="114"/>
      <c r="C394" s="114"/>
      <c r="D394" s="114"/>
      <c r="E394" s="114"/>
      <c r="F394" s="114"/>
      <c r="G394" s="114"/>
      <c r="H394" s="114"/>
      <c r="I394" s="114"/>
      <c r="J394" s="114"/>
      <c r="K394" s="114"/>
    </row>
    <row r="395" spans="1:13" ht="16.5" customHeight="1" x14ac:dyDescent="0.25">
      <c r="A395" s="1894" t="s">
        <v>84</v>
      </c>
      <c r="B395" s="1894"/>
      <c r="C395" s="1894"/>
      <c r="D395" s="118"/>
      <c r="E395" s="118"/>
      <c r="F395" s="118"/>
      <c r="G395" s="118"/>
      <c r="H395" s="118"/>
      <c r="I395" s="118"/>
      <c r="J395" s="118"/>
      <c r="K395" s="118"/>
      <c r="M395" s="46"/>
    </row>
    <row r="396" spans="1:13" ht="16.5" customHeight="1" x14ac:dyDescent="0.25">
      <c r="A396" s="667"/>
      <c r="B396" s="114"/>
      <c r="C396" s="114"/>
      <c r="D396" s="114"/>
      <c r="E396" s="114"/>
      <c r="F396" s="114"/>
      <c r="G396" s="114"/>
      <c r="H396" s="114"/>
      <c r="I396" s="667"/>
      <c r="J396" s="667"/>
      <c r="K396" s="667"/>
      <c r="M396" s="46"/>
    </row>
    <row r="397" spans="1:13" ht="21" customHeight="1" x14ac:dyDescent="0.25">
      <c r="A397" s="667"/>
      <c r="B397" s="1897" t="s">
        <v>85</v>
      </c>
      <c r="C397" s="1898"/>
      <c r="D397" s="1898"/>
      <c r="E397" s="1898"/>
      <c r="F397" s="1898"/>
      <c r="G397" s="740" t="s">
        <v>907</v>
      </c>
      <c r="H397" s="1899" t="s">
        <v>908</v>
      </c>
      <c r="I397" s="1899"/>
      <c r="J397" s="667"/>
      <c r="K397" s="667"/>
    </row>
    <row r="398" spans="1:13" ht="24" customHeight="1" x14ac:dyDescent="0.25">
      <c r="A398" s="667"/>
      <c r="B398" s="1648" t="str">
        <f>Submittals!G53</f>
        <v>• Manufacturer’s data for each water appliance installed showing the water usage of the appliance</v>
      </c>
      <c r="C398" s="1649"/>
      <c r="D398" s="1649"/>
      <c r="E398" s="1649"/>
      <c r="F398" s="1649"/>
      <c r="G398" s="733" t="s">
        <v>53</v>
      </c>
      <c r="H398" s="1689"/>
      <c r="I398" s="1736"/>
      <c r="J398" s="667"/>
      <c r="K398" s="667"/>
      <c r="L398" s="35" t="str">
        <f>IF(OR(B398="/",B398="No evidence required at this submission stage"),"Yes",IF(G398="Submitted","Yes","No"))</f>
        <v>No</v>
      </c>
    </row>
    <row r="399" spans="1:13" ht="30" customHeight="1" x14ac:dyDescent="0.25">
      <c r="A399" s="667"/>
      <c r="B399" s="1648" t="str">
        <f>Submittals!G54</f>
        <v>• Evidence that the water efficient appliances have been installed such as photographs, receipts, delivery order, etc.</v>
      </c>
      <c r="C399" s="1649"/>
      <c r="D399" s="1649"/>
      <c r="E399" s="1649"/>
      <c r="F399" s="1649"/>
      <c r="G399" s="733" t="s">
        <v>53</v>
      </c>
      <c r="H399" s="1689"/>
      <c r="I399" s="1736"/>
      <c r="J399" s="667"/>
      <c r="K399" s="667"/>
      <c r="L399" s="35" t="str">
        <f t="shared" ref="L399" si="18">IF(OR(B399="/",B399="No evidence required at this submission stage"),"Yes",IF(G399="Submitted","Yes","No"))</f>
        <v>No</v>
      </c>
    </row>
    <row r="400" spans="1:13" ht="18.75" customHeight="1" x14ac:dyDescent="0.25">
      <c r="A400" s="667"/>
      <c r="B400" s="114"/>
      <c r="C400" s="667"/>
      <c r="D400" s="667"/>
      <c r="E400" s="667"/>
      <c r="F400" s="667"/>
      <c r="G400" s="667"/>
      <c r="H400" s="667"/>
      <c r="I400" s="667"/>
      <c r="J400" s="667"/>
      <c r="K400" s="667"/>
    </row>
    <row r="401" spans="1:11" ht="16.5" customHeight="1" x14ac:dyDescent="0.25">
      <c r="A401" s="1894" t="s">
        <v>5</v>
      </c>
      <c r="B401" s="1894"/>
      <c r="C401" s="1894"/>
      <c r="D401" s="667"/>
      <c r="E401" s="667"/>
      <c r="F401" s="667"/>
      <c r="G401" s="667"/>
      <c r="H401" s="667"/>
      <c r="I401" s="667"/>
      <c r="J401" s="667"/>
      <c r="K401" s="667"/>
    </row>
    <row r="402" spans="1:11" x14ac:dyDescent="0.25">
      <c r="A402" s="667"/>
      <c r="B402" s="114"/>
      <c r="C402" s="114"/>
      <c r="D402" s="114"/>
      <c r="E402" s="114"/>
      <c r="F402" s="114"/>
      <c r="G402" s="114"/>
      <c r="H402" s="114"/>
      <c r="I402" s="114"/>
      <c r="J402" s="114"/>
      <c r="K402" s="114"/>
    </row>
    <row r="403" spans="1:11" ht="18" customHeight="1" x14ac:dyDescent="0.25">
      <c r="A403" s="667"/>
      <c r="B403" s="106" t="s">
        <v>16</v>
      </c>
      <c r="C403" s="8">
        <f>IF(F13="Yes",0,IF(E393="Yes",1,0))</f>
        <v>0</v>
      </c>
      <c r="D403" s="667"/>
      <c r="E403" s="667"/>
      <c r="F403" s="667"/>
      <c r="G403" s="667"/>
      <c r="H403" s="667"/>
      <c r="I403" s="667"/>
      <c r="J403" s="667"/>
      <c r="K403" s="667"/>
    </row>
    <row r="404" spans="1:11" ht="18" customHeight="1" collapsed="1" x14ac:dyDescent="0.25">
      <c r="A404" s="667"/>
      <c r="B404" s="113" t="s">
        <v>133</v>
      </c>
      <c r="C404" s="8" t="str">
        <f>IF(F13="Yes","No",IF(AND(COUNTIF(L398:L399,"Yes")=2,C403&gt;0),"Yes","No"))</f>
        <v>No</v>
      </c>
      <c r="D404" s="667"/>
      <c r="E404" s="667"/>
      <c r="F404" s="667"/>
      <c r="G404" s="667"/>
      <c r="H404" s="667"/>
      <c r="I404" s="667"/>
      <c r="J404" s="667"/>
      <c r="K404" s="667"/>
    </row>
    <row r="405" spans="1:11" ht="21" customHeight="1" x14ac:dyDescent="0.25">
      <c r="A405" s="667"/>
      <c r="B405" s="114"/>
      <c r="C405" s="114"/>
      <c r="D405" s="114"/>
      <c r="E405" s="114"/>
      <c r="F405" s="114"/>
      <c r="G405" s="114"/>
      <c r="H405" s="114"/>
      <c r="I405" s="114"/>
      <c r="J405" s="114"/>
      <c r="K405" s="114"/>
    </row>
    <row r="406" spans="1:11" hidden="1" x14ac:dyDescent="0.25"/>
    <row r="407" spans="1:11" hidden="1" x14ac:dyDescent="0.25"/>
    <row r="408" spans="1:11" hidden="1" x14ac:dyDescent="0.25"/>
    <row r="409" spans="1:11" hidden="1" x14ac:dyDescent="0.25"/>
    <row r="410" spans="1:11" hidden="1" x14ac:dyDescent="0.25"/>
    <row r="411" spans="1:11" hidden="1" x14ac:dyDescent="0.25"/>
    <row r="412" spans="1:11" hidden="1" x14ac:dyDescent="0.25"/>
    <row r="413" spans="1:11" hidden="1" x14ac:dyDescent="0.25"/>
    <row r="414" spans="1:11" hidden="1" x14ac:dyDescent="0.25"/>
    <row r="415" spans="1:11" hidden="1" x14ac:dyDescent="0.25"/>
    <row r="416" spans="1:11"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sheetData>
  <sheetProtection algorithmName="SHA-512" hashValue="XrPGMa+5KacGlbz6c4XpgFs/vh3qv8LJ7OHFIl6viGkqGKURVZSILNFC1Ch66YoyprfC+SUlQvcwFauNQM5Chw==" saltValue="rujHudklVmAAmWovCy4GZg==" spinCount="100000" sheet="1" objects="1" scenarios="1" formatRows="0"/>
  <dataConsolidate/>
  <mergeCells count="376">
    <mergeCell ref="B26:I26"/>
    <mergeCell ref="B28:I28"/>
    <mergeCell ref="B30:I30"/>
    <mergeCell ref="B91:F91"/>
    <mergeCell ref="H91:I91"/>
    <mergeCell ref="A93:C93"/>
    <mergeCell ref="B95:F95"/>
    <mergeCell ref="B96:F96"/>
    <mergeCell ref="B97:F97"/>
    <mergeCell ref="D70:E70"/>
    <mergeCell ref="B71:C71"/>
    <mergeCell ref="D71:E71"/>
    <mergeCell ref="B72:C72"/>
    <mergeCell ref="D72:E72"/>
    <mergeCell ref="B75:C75"/>
    <mergeCell ref="D75:E75"/>
    <mergeCell ref="B61:B62"/>
    <mergeCell ref="C61:C62"/>
    <mergeCell ref="G61:G62"/>
    <mergeCell ref="B63:B64"/>
    <mergeCell ref="C63:C64"/>
    <mergeCell ref="G63:G64"/>
    <mergeCell ref="B65:B66"/>
    <mergeCell ref="C65:C66"/>
    <mergeCell ref="B50:G50"/>
    <mergeCell ref="B83:C83"/>
    <mergeCell ref="D83:E83"/>
    <mergeCell ref="B84:C84"/>
    <mergeCell ref="D84:E84"/>
    <mergeCell ref="A87:C87"/>
    <mergeCell ref="B89:F89"/>
    <mergeCell ref="H89:I89"/>
    <mergeCell ref="B90:F90"/>
    <mergeCell ref="H90:I90"/>
    <mergeCell ref="B76:C76"/>
    <mergeCell ref="D76:E76"/>
    <mergeCell ref="B77:C77"/>
    <mergeCell ref="D77:E77"/>
    <mergeCell ref="B78:C78"/>
    <mergeCell ref="D78:E78"/>
    <mergeCell ref="B81:C81"/>
    <mergeCell ref="D81:E81"/>
    <mergeCell ref="B82:C82"/>
    <mergeCell ref="D82:E82"/>
    <mergeCell ref="B69:C69"/>
    <mergeCell ref="D69:E69"/>
    <mergeCell ref="B70:C70"/>
    <mergeCell ref="M123:M124"/>
    <mergeCell ref="N123:N124"/>
    <mergeCell ref="M125:M126"/>
    <mergeCell ref="N125:N126"/>
    <mergeCell ref="M121:M122"/>
    <mergeCell ref="N121:N122"/>
    <mergeCell ref="M119:M120"/>
    <mergeCell ref="N119:N120"/>
    <mergeCell ref="M117:N118"/>
    <mergeCell ref="A34:K34"/>
    <mergeCell ref="H119:H120"/>
    <mergeCell ref="B121:B122"/>
    <mergeCell ref="C121:C122"/>
    <mergeCell ref="F121:F122"/>
    <mergeCell ref="G121:G122"/>
    <mergeCell ref="H121:H122"/>
    <mergeCell ref="B40:C40"/>
    <mergeCell ref="D40:E40"/>
    <mergeCell ref="A42:K42"/>
    <mergeCell ref="A103:K103"/>
    <mergeCell ref="A44:C44"/>
    <mergeCell ref="B48:G48"/>
    <mergeCell ref="G65:G66"/>
    <mergeCell ref="B49:G49"/>
    <mergeCell ref="B51:G51"/>
    <mergeCell ref="B52:G52"/>
    <mergeCell ref="A55:C55"/>
    <mergeCell ref="B57:F57"/>
    <mergeCell ref="B59:C59"/>
    <mergeCell ref="D59:E60"/>
    <mergeCell ref="F59:F60"/>
    <mergeCell ref="G59:G60"/>
    <mergeCell ref="B98:F98"/>
    <mergeCell ref="B13:E13"/>
    <mergeCell ref="B23:F23"/>
    <mergeCell ref="B25:F25"/>
    <mergeCell ref="B29:F29"/>
    <mergeCell ref="B31:F31"/>
    <mergeCell ref="B32:F32"/>
    <mergeCell ref="B17:F17"/>
    <mergeCell ref="A252:K252"/>
    <mergeCell ref="B210:C210"/>
    <mergeCell ref="B211:C211"/>
    <mergeCell ref="B213:C213"/>
    <mergeCell ref="B214:C214"/>
    <mergeCell ref="B215:C215"/>
    <mergeCell ref="B15:F15"/>
    <mergeCell ref="B20:F20"/>
    <mergeCell ref="B22:F22"/>
    <mergeCell ref="B27:F27"/>
    <mergeCell ref="B19:I19"/>
    <mergeCell ref="B16:I16"/>
    <mergeCell ref="B18:F18"/>
    <mergeCell ref="B21:I21"/>
    <mergeCell ref="B222:B223"/>
    <mergeCell ref="B224:B225"/>
    <mergeCell ref="D208:E208"/>
    <mergeCell ref="D217:E217"/>
    <mergeCell ref="H2:J4"/>
    <mergeCell ref="B169:J169"/>
    <mergeCell ref="B208:C208"/>
    <mergeCell ref="A9:K9"/>
    <mergeCell ref="A5:K7"/>
    <mergeCell ref="G119:G120"/>
    <mergeCell ref="B123:B124"/>
    <mergeCell ref="B142:C142"/>
    <mergeCell ref="D142:E142"/>
    <mergeCell ref="B135:C135"/>
    <mergeCell ref="D135:E135"/>
    <mergeCell ref="B136:C136"/>
    <mergeCell ref="D136:E136"/>
    <mergeCell ref="B137:C137"/>
    <mergeCell ref="D137:E137"/>
    <mergeCell ref="B151:D151"/>
    <mergeCell ref="B148:C148"/>
    <mergeCell ref="B149:C149"/>
    <mergeCell ref="B143:C143"/>
    <mergeCell ref="D143:E143"/>
    <mergeCell ref="B138:C138"/>
    <mergeCell ref="D138:E138"/>
    <mergeCell ref="B141:C141"/>
    <mergeCell ref="D129:E129"/>
    <mergeCell ref="B209:E209"/>
    <mergeCell ref="B212:E212"/>
    <mergeCell ref="D210:E210"/>
    <mergeCell ref="D211:E211"/>
    <mergeCell ref="D213:E213"/>
    <mergeCell ref="D214:E214"/>
    <mergeCell ref="D215:E215"/>
    <mergeCell ref="B216:E216"/>
    <mergeCell ref="D141:E141"/>
    <mergeCell ref="H155:I155"/>
    <mergeCell ref="D219:E219"/>
    <mergeCell ref="D220:E220"/>
    <mergeCell ref="B119:C119"/>
    <mergeCell ref="D119:E120"/>
    <mergeCell ref="F119:F120"/>
    <mergeCell ref="A38:K38"/>
    <mergeCell ref="A105:C105"/>
    <mergeCell ref="A109:C109"/>
    <mergeCell ref="D130:E130"/>
    <mergeCell ref="B131:C131"/>
    <mergeCell ref="D131:E131"/>
    <mergeCell ref="B132:C132"/>
    <mergeCell ref="D132:E132"/>
    <mergeCell ref="H123:H124"/>
    <mergeCell ref="B125:B126"/>
    <mergeCell ref="C125:C126"/>
    <mergeCell ref="F125:F126"/>
    <mergeCell ref="G125:G126"/>
    <mergeCell ref="H125:H126"/>
    <mergeCell ref="C123:C124"/>
    <mergeCell ref="F123:F124"/>
    <mergeCell ref="G123:G124"/>
    <mergeCell ref="B129:C129"/>
    <mergeCell ref="B302:C302"/>
    <mergeCell ref="B303:C303"/>
    <mergeCell ref="B305:D305"/>
    <mergeCell ref="B130:C130"/>
    <mergeCell ref="B192:F192"/>
    <mergeCell ref="H192:I192"/>
    <mergeCell ref="B156:F156"/>
    <mergeCell ref="H156:I156"/>
    <mergeCell ref="B157:F157"/>
    <mergeCell ref="H157:I157"/>
    <mergeCell ref="B158:F158"/>
    <mergeCell ref="H158:I158"/>
    <mergeCell ref="B145:C145"/>
    <mergeCell ref="D145:E145"/>
    <mergeCell ref="G179:H179"/>
    <mergeCell ref="G180:H180"/>
    <mergeCell ref="G181:H181"/>
    <mergeCell ref="G182:H182"/>
    <mergeCell ref="G183:H183"/>
    <mergeCell ref="G184:H184"/>
    <mergeCell ref="A165:K165"/>
    <mergeCell ref="B177:E177"/>
    <mergeCell ref="B186:D186"/>
    <mergeCell ref="C179:D179"/>
    <mergeCell ref="D292:E292"/>
    <mergeCell ref="B295:C295"/>
    <mergeCell ref="D295:E295"/>
    <mergeCell ref="B296:C296"/>
    <mergeCell ref="D296:E296"/>
    <mergeCell ref="B297:C297"/>
    <mergeCell ref="D297:E297"/>
    <mergeCell ref="B299:C299"/>
    <mergeCell ref="D299:E299"/>
    <mergeCell ref="B245:F245"/>
    <mergeCell ref="H245:I245"/>
    <mergeCell ref="A153:C153"/>
    <mergeCell ref="A160:C160"/>
    <mergeCell ref="B190:F190"/>
    <mergeCell ref="B191:F191"/>
    <mergeCell ref="H190:I190"/>
    <mergeCell ref="H191:I191"/>
    <mergeCell ref="B237:C237"/>
    <mergeCell ref="G237:H237"/>
    <mergeCell ref="B235:C235"/>
    <mergeCell ref="G235:H235"/>
    <mergeCell ref="B239:D239"/>
    <mergeCell ref="G230:H230"/>
    <mergeCell ref="B207:E207"/>
    <mergeCell ref="B229:C229"/>
    <mergeCell ref="E229:F229"/>
    <mergeCell ref="B230:C230"/>
    <mergeCell ref="G229:H229"/>
    <mergeCell ref="A199:K199"/>
    <mergeCell ref="D221:E221"/>
    <mergeCell ref="B243:F243"/>
    <mergeCell ref="E179:F179"/>
    <mergeCell ref="B155:F155"/>
    <mergeCell ref="G333:H333"/>
    <mergeCell ref="G334:H334"/>
    <mergeCell ref="G335:H335"/>
    <mergeCell ref="G336:H336"/>
    <mergeCell ref="G337:H337"/>
    <mergeCell ref="G338:H338"/>
    <mergeCell ref="G231:H231"/>
    <mergeCell ref="B232:C232"/>
    <mergeCell ref="G232:H232"/>
    <mergeCell ref="A263:C263"/>
    <mergeCell ref="B283:C283"/>
    <mergeCell ref="D283:E283"/>
    <mergeCell ref="B286:C286"/>
    <mergeCell ref="D286:E286"/>
    <mergeCell ref="B289:C289"/>
    <mergeCell ref="B231:C231"/>
    <mergeCell ref="G279:G280"/>
    <mergeCell ref="H279:H280"/>
    <mergeCell ref="A307:C307"/>
    <mergeCell ref="B309:F309"/>
    <mergeCell ref="H309:I309"/>
    <mergeCell ref="B291:C291"/>
    <mergeCell ref="D291:E291"/>
    <mergeCell ref="B292:C292"/>
    <mergeCell ref="D222:E222"/>
    <mergeCell ref="D223:E223"/>
    <mergeCell ref="D224:E224"/>
    <mergeCell ref="D225:E225"/>
    <mergeCell ref="B217:B221"/>
    <mergeCell ref="A201:C201"/>
    <mergeCell ref="D218:E218"/>
    <mergeCell ref="M271:N272"/>
    <mergeCell ref="B273:C273"/>
    <mergeCell ref="D273:E274"/>
    <mergeCell ref="F273:F274"/>
    <mergeCell ref="G273:G274"/>
    <mergeCell ref="H273:H274"/>
    <mergeCell ref="M273:M274"/>
    <mergeCell ref="N273:N274"/>
    <mergeCell ref="B236:C236"/>
    <mergeCell ref="G236:H236"/>
    <mergeCell ref="B233:C233"/>
    <mergeCell ref="G233:H233"/>
    <mergeCell ref="B234:C234"/>
    <mergeCell ref="G234:H234"/>
    <mergeCell ref="H243:I243"/>
    <mergeCell ref="B244:F244"/>
    <mergeCell ref="H244:I244"/>
    <mergeCell ref="D289:E289"/>
    <mergeCell ref="M279:M280"/>
    <mergeCell ref="N279:N280"/>
    <mergeCell ref="B275:B276"/>
    <mergeCell ref="C275:C276"/>
    <mergeCell ref="F275:F276"/>
    <mergeCell ref="G275:G276"/>
    <mergeCell ref="H275:H276"/>
    <mergeCell ref="M275:M276"/>
    <mergeCell ref="N275:N276"/>
    <mergeCell ref="B277:B278"/>
    <mergeCell ref="C277:C278"/>
    <mergeCell ref="F277:F278"/>
    <mergeCell ref="G277:G278"/>
    <mergeCell ref="H277:H278"/>
    <mergeCell ref="M277:M278"/>
    <mergeCell ref="N277:N278"/>
    <mergeCell ref="A319:K319"/>
    <mergeCell ref="B323:J323"/>
    <mergeCell ref="B331:E331"/>
    <mergeCell ref="B310:F310"/>
    <mergeCell ref="H310:I310"/>
    <mergeCell ref="B312:F312"/>
    <mergeCell ref="H312:I312"/>
    <mergeCell ref="A314:C314"/>
    <mergeCell ref="B311:F311"/>
    <mergeCell ref="H311:I311"/>
    <mergeCell ref="B290:C290"/>
    <mergeCell ref="D290:E290"/>
    <mergeCell ref="B279:B280"/>
    <mergeCell ref="C279:C280"/>
    <mergeCell ref="F279:F280"/>
    <mergeCell ref="A256:K256"/>
    <mergeCell ref="A258:C258"/>
    <mergeCell ref="A353:K353"/>
    <mergeCell ref="A355:C355"/>
    <mergeCell ref="A348:C348"/>
    <mergeCell ref="A342:C342"/>
    <mergeCell ref="B284:C284"/>
    <mergeCell ref="D284:E284"/>
    <mergeCell ref="B285:C285"/>
    <mergeCell ref="D285:E285"/>
    <mergeCell ref="B346:F346"/>
    <mergeCell ref="H346:I346"/>
    <mergeCell ref="C333:D333"/>
    <mergeCell ref="E333:F333"/>
    <mergeCell ref="B340:D340"/>
    <mergeCell ref="B344:F344"/>
    <mergeCell ref="H344:I344"/>
    <mergeCell ref="B345:F345"/>
    <mergeCell ref="H345:I345"/>
    <mergeCell ref="D368:E368"/>
    <mergeCell ref="B369:C369"/>
    <mergeCell ref="D369:E369"/>
    <mergeCell ref="B370:E370"/>
    <mergeCell ref="B371:B375"/>
    <mergeCell ref="D371:E371"/>
    <mergeCell ref="D372:E372"/>
    <mergeCell ref="B366:E366"/>
    <mergeCell ref="B367:C367"/>
    <mergeCell ref="D367:E367"/>
    <mergeCell ref="A395:C395"/>
    <mergeCell ref="A401:C401"/>
    <mergeCell ref="A1:K1"/>
    <mergeCell ref="B393:D393"/>
    <mergeCell ref="B397:F397"/>
    <mergeCell ref="H397:I397"/>
    <mergeCell ref="B398:F398"/>
    <mergeCell ref="H398:I398"/>
    <mergeCell ref="B399:F399"/>
    <mergeCell ref="H399:I399"/>
    <mergeCell ref="B387:C387"/>
    <mergeCell ref="B388:C388"/>
    <mergeCell ref="B389:C389"/>
    <mergeCell ref="B390:C390"/>
    <mergeCell ref="B391:C391"/>
    <mergeCell ref="B383:C383"/>
    <mergeCell ref="B384:C384"/>
    <mergeCell ref="B385:C385"/>
    <mergeCell ref="B386:C386"/>
    <mergeCell ref="D373:E373"/>
    <mergeCell ref="D374:E374"/>
    <mergeCell ref="D375:E375"/>
    <mergeCell ref="B376:B377"/>
    <mergeCell ref="D376:E376"/>
    <mergeCell ref="G390:H390"/>
    <mergeCell ref="G391:H391"/>
    <mergeCell ref="B260:J261"/>
    <mergeCell ref="E383:F383"/>
    <mergeCell ref="G383:H383"/>
    <mergeCell ref="G384:H384"/>
    <mergeCell ref="G385:H385"/>
    <mergeCell ref="G386:H386"/>
    <mergeCell ref="G387:H387"/>
    <mergeCell ref="G388:H388"/>
    <mergeCell ref="G389:H389"/>
    <mergeCell ref="D377:E377"/>
    <mergeCell ref="B378:B379"/>
    <mergeCell ref="D378:E378"/>
    <mergeCell ref="D379:E379"/>
    <mergeCell ref="B361:E361"/>
    <mergeCell ref="B362:C362"/>
    <mergeCell ref="D362:E362"/>
    <mergeCell ref="B363:E363"/>
    <mergeCell ref="B364:C364"/>
    <mergeCell ref="D364:E364"/>
    <mergeCell ref="B365:C365"/>
    <mergeCell ref="D365:E365"/>
    <mergeCell ref="B368:C368"/>
  </mergeCells>
  <conditionalFormatting sqref="G157:G158">
    <cfRule type="expression" dxfId="299" priority="57">
      <formula>$B157="/"</formula>
    </cfRule>
    <cfRule type="expression" dxfId="298" priority="58">
      <formula>$B157="No evidence required at this submission stage"</formula>
    </cfRule>
  </conditionalFormatting>
  <conditionalFormatting sqref="H157">
    <cfRule type="expression" dxfId="297" priority="55">
      <formula>$B157="/"</formula>
    </cfRule>
    <cfRule type="expression" dxfId="296" priority="56">
      <formula>$B157="No evidence required at this submission stage"</formula>
    </cfRule>
  </conditionalFormatting>
  <conditionalFormatting sqref="G191:G192">
    <cfRule type="expression" dxfId="295" priority="51">
      <formula>$B191="/"</formula>
    </cfRule>
    <cfRule type="expression" dxfId="294" priority="52">
      <formula>$B191="No evidence required at this submission stage"</formula>
    </cfRule>
  </conditionalFormatting>
  <conditionalFormatting sqref="H191">
    <cfRule type="expression" dxfId="293" priority="49">
      <formula>$B191="/"</formula>
    </cfRule>
    <cfRule type="expression" dxfId="292" priority="50">
      <formula>$B191="No evidence required at this submission stage"</formula>
    </cfRule>
  </conditionalFormatting>
  <conditionalFormatting sqref="H158">
    <cfRule type="expression" dxfId="291" priority="53">
      <formula>$B158="/"</formula>
    </cfRule>
    <cfRule type="expression" dxfId="290" priority="54">
      <formula>$B158="No evidence required at this submission stage"</formula>
    </cfRule>
  </conditionalFormatting>
  <conditionalFormatting sqref="H192">
    <cfRule type="expression" dxfId="289" priority="47">
      <formula>$B192="/"</formula>
    </cfRule>
    <cfRule type="expression" dxfId="288" priority="48">
      <formula>$B192="No evidence required at this submission stage"</formula>
    </cfRule>
  </conditionalFormatting>
  <conditionalFormatting sqref="G244:G245">
    <cfRule type="expression" dxfId="287" priority="39">
      <formula>$B244="/"</formula>
    </cfRule>
    <cfRule type="expression" dxfId="286" priority="40">
      <formula>$B244="No evidence required at this submission stage"</formula>
    </cfRule>
  </conditionalFormatting>
  <conditionalFormatting sqref="H244">
    <cfRule type="expression" dxfId="285" priority="37">
      <formula>$B244="/"</formula>
    </cfRule>
    <cfRule type="expression" dxfId="284" priority="38">
      <formula>$B244="No evidence required at this submission stage"</formula>
    </cfRule>
  </conditionalFormatting>
  <conditionalFormatting sqref="H245">
    <cfRule type="expression" dxfId="283" priority="35">
      <formula>$B245="/"</formula>
    </cfRule>
    <cfRule type="expression" dxfId="282" priority="36">
      <formula>$B245="No evidence required at this submission stage"</formula>
    </cfRule>
  </conditionalFormatting>
  <conditionalFormatting sqref="G310:G312">
    <cfRule type="expression" dxfId="281" priority="21">
      <formula>$B310="/"</formula>
    </cfRule>
    <cfRule type="expression" dxfId="280" priority="22">
      <formula>$B310="No evidence required at this submission stage"</formula>
    </cfRule>
  </conditionalFormatting>
  <conditionalFormatting sqref="H310:H311">
    <cfRule type="expression" dxfId="279" priority="19">
      <formula>$B310="/"</formula>
    </cfRule>
    <cfRule type="expression" dxfId="278" priority="20">
      <formula>$B310="No evidence required at this submission stage"</formula>
    </cfRule>
  </conditionalFormatting>
  <conditionalFormatting sqref="H312">
    <cfRule type="expression" dxfId="277" priority="17">
      <formula>$B312="/"</formula>
    </cfRule>
    <cfRule type="expression" dxfId="276" priority="18">
      <formula>$B312="No evidence required at this submission stage"</formula>
    </cfRule>
  </conditionalFormatting>
  <conditionalFormatting sqref="G345:G346">
    <cfRule type="expression" dxfId="275" priority="15">
      <formula>$B345="/"</formula>
    </cfRule>
    <cfRule type="expression" dxfId="274" priority="16">
      <formula>$B345="No evidence required at this submission stage"</formula>
    </cfRule>
  </conditionalFormatting>
  <conditionalFormatting sqref="H345">
    <cfRule type="expression" dxfId="273" priority="13">
      <formula>$B345="/"</formula>
    </cfRule>
    <cfRule type="expression" dxfId="272" priority="14">
      <formula>$B345="No evidence required at this submission stage"</formula>
    </cfRule>
  </conditionalFormatting>
  <conditionalFormatting sqref="H346">
    <cfRule type="expression" dxfId="271" priority="11">
      <formula>$B346="/"</formula>
    </cfRule>
    <cfRule type="expression" dxfId="270" priority="12">
      <formula>$B346="No evidence required at this submission stage"</formula>
    </cfRule>
  </conditionalFormatting>
  <conditionalFormatting sqref="G398:G399">
    <cfRule type="expression" dxfId="269" priority="9">
      <formula>$B398="/"</formula>
    </cfRule>
    <cfRule type="expression" dxfId="268" priority="10">
      <formula>$B398="No evidence required at this submission stage"</formula>
    </cfRule>
  </conditionalFormatting>
  <conditionalFormatting sqref="H398">
    <cfRule type="expression" dxfId="267" priority="7">
      <formula>$B398="/"</formula>
    </cfRule>
    <cfRule type="expression" dxfId="266" priority="8">
      <formula>$B398="No evidence required at this submission stage"</formula>
    </cfRule>
  </conditionalFormatting>
  <conditionalFormatting sqref="H399">
    <cfRule type="expression" dxfId="265" priority="5">
      <formula>$B399="/"</formula>
    </cfRule>
    <cfRule type="expression" dxfId="264" priority="6">
      <formula>$B399="No evidence required at this submission stage"</formula>
    </cfRule>
  </conditionalFormatting>
  <conditionalFormatting sqref="G156">
    <cfRule type="expression" dxfId="263" priority="3">
      <formula>$B156="/"</formula>
    </cfRule>
    <cfRule type="expression" dxfId="262" priority="4">
      <formula>$B156="No evidence required at this submission stage"</formula>
    </cfRule>
  </conditionalFormatting>
  <conditionalFormatting sqref="H156">
    <cfRule type="expression" dxfId="261" priority="1">
      <formula>$B156="/"</formula>
    </cfRule>
    <cfRule type="expression" dxfId="260" priority="2">
      <formula>$B156="No evidence required at this submission stage"</formula>
    </cfRule>
  </conditionalFormatting>
  <dataValidations count="11">
    <dataValidation type="list" allowBlank="1" showInputMessage="1" showErrorMessage="1" sqref="C121:C126 C275:C280" xr:uid="{00000000-0002-0000-1500-000000000000}">
      <formula1>"Single Flush, Dual Flush"</formula1>
    </dataValidation>
    <dataValidation type="list" allowBlank="1" showInputMessage="1" showErrorMessage="1" sqref="F13 F177 F331" xr:uid="{00000000-0002-0000-1500-000001000000}">
      <formula1>"Select,Yes,No"</formula1>
    </dataValidation>
    <dataValidation type="list" allowBlank="1" showInputMessage="1" showErrorMessage="1" sqref="C61:C66" xr:uid="{00000000-0002-0000-1500-000002000000}">
      <formula1>"Select,Single Flush, Dual Flush"</formula1>
    </dataValidation>
    <dataValidation type="list" allowBlank="1" showInputMessage="1" showErrorMessage="1" sqref="G191:G192 G156:G158 G244:G245 G398:G399 G345:G346 G310:G312 G90:G91" xr:uid="{00000000-0002-0000-1500-000003000000}">
      <formula1>"Select,Submitted,Not submitted"</formula1>
    </dataValidation>
    <dataValidation type="list" allowBlank="1" showInputMessage="1" showErrorMessage="1" sqref="B230:C237 B384:C391" xr:uid="{00000000-0002-0000-1500-000004000000}">
      <formula1>Process_type</formula1>
    </dataValidation>
    <dataValidation type="list" allowBlank="1" showInputMessage="1" showErrorMessage="1" sqref="B180:B184 B334:B338" xr:uid="{00000000-0002-0000-1500-000005000000}">
      <formula1>"Select,Water-closet,Urinal,Bathroom tap,Shower head,Other"</formula1>
    </dataValidation>
    <dataValidation allowBlank="1" showInputMessage="1" showErrorMessage="1" prompt="Describe how the base building fixture was replaced or altered and describe the new fixtures/appliances installed." sqref="G180:H184 G334:H338" xr:uid="{00000000-0002-0000-1500-000006000000}"/>
    <dataValidation allowBlank="1" showInputMessage="1" showErrorMessage="1" prompt="Enter the water use value in the unit shown on the right or enter &quot;Energy Star or equivalent&quot; to justify compliance." sqref="E231:E237 E385:E391" xr:uid="{00000000-0002-0000-1500-000007000000}"/>
    <dataValidation type="list" allowBlank="1" showInputMessage="1" showErrorMessage="1" sqref="D40" xr:uid="{00000000-0002-0000-1500-000008000000}">
      <formula1>"Select,Prescriptive Path, Performance Path"</formula1>
    </dataValidation>
    <dataValidation allowBlank="1" showInputMessage="1" showErrorMessage="1" prompt="Enter the water use value in the unit shown on the right or enter &quot;Compliant&quot; to justify compliance." sqref="E230 E384" xr:uid="{00000000-0002-0000-1500-000009000000}"/>
    <dataValidation allowBlank="1" showErrorMessage="1" prompt="_x000a_" sqref="D230:D237 D384:D391" xr:uid="{00000000-0002-0000-1500-00000A000000}"/>
  </dataValidations>
  <hyperlinks>
    <hyperlink ref="K3" location="'W-2 Drinking Water '!D3" tooltip="W-2" display="W-2"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0563C1"/>
  </sheetPr>
  <dimension ref="A1:M205"/>
  <sheetViews>
    <sheetView showRowColHeaders="0" zoomScaleNormal="100" workbookViewId="0">
      <pane ySplit="8" topLeftCell="A9" activePane="bottomLeft" state="frozen"/>
      <selection pane="bottomLeft" activeCell="A13" sqref="A13:XFD13"/>
    </sheetView>
  </sheetViews>
  <sheetFormatPr defaultColWidth="0" defaultRowHeight="15" customHeight="1" zeroHeight="1" x14ac:dyDescent="0.25"/>
  <cols>
    <col min="1" max="1" width="5" style="35" customWidth="1"/>
    <col min="2" max="3" width="18.7109375" style="35" customWidth="1"/>
    <col min="4" max="4" width="13" style="35" customWidth="1"/>
    <col min="5" max="5" width="17.140625" style="35" customWidth="1"/>
    <col min="6" max="6" width="19" style="35" customWidth="1"/>
    <col min="7" max="7" width="20.28515625" style="35" customWidth="1"/>
    <col min="8" max="8" width="22.7109375" style="35" customWidth="1"/>
    <col min="9" max="9" width="15.85546875" style="35" customWidth="1"/>
    <col min="10" max="10" width="13.28515625" style="35" customWidth="1"/>
    <col min="11" max="11" width="9.7109375" style="35" customWidth="1"/>
    <col min="12" max="16384" width="9.140625" style="35" hidden="1"/>
  </cols>
  <sheetData>
    <row r="1" spans="1:13" ht="25.5" customHeight="1" x14ac:dyDescent="0.25">
      <c r="A1" s="1966" t="s">
        <v>271</v>
      </c>
      <c r="B1" s="1966"/>
      <c r="C1" s="1966"/>
      <c r="D1" s="1966"/>
      <c r="E1" s="1966"/>
      <c r="F1" s="1966"/>
      <c r="G1" s="1966"/>
      <c r="H1" s="1966"/>
      <c r="I1" s="1966"/>
      <c r="J1" s="1966"/>
      <c r="K1" s="1966"/>
      <c r="L1" s="90"/>
    </row>
    <row r="2" spans="1:13" ht="15" customHeight="1" x14ac:dyDescent="0.25">
      <c r="A2" s="46"/>
      <c r="B2" s="46"/>
      <c r="C2" s="46"/>
      <c r="D2" s="46"/>
      <c r="E2" s="46"/>
      <c r="F2" s="46"/>
      <c r="G2" s="45"/>
      <c r="H2" s="45"/>
      <c r="I2" s="1971" t="s">
        <v>1306</v>
      </c>
      <c r="J2" s="1971"/>
      <c r="K2" s="45"/>
      <c r="L2" s="122"/>
      <c r="M2" s="45"/>
    </row>
    <row r="3" spans="1:13" ht="15" customHeight="1" x14ac:dyDescent="0.25">
      <c r="A3" s="46"/>
      <c r="B3" s="46"/>
      <c r="C3" s="46"/>
      <c r="D3" s="46"/>
      <c r="E3" s="46"/>
      <c r="F3" s="46"/>
      <c r="G3" s="45"/>
      <c r="H3" s="45"/>
      <c r="I3" s="1971"/>
      <c r="J3" s="1971"/>
      <c r="K3" s="123" t="s">
        <v>29</v>
      </c>
      <c r="L3" s="122"/>
      <c r="M3" s="45"/>
    </row>
    <row r="4" spans="1:13" ht="15" customHeight="1" x14ac:dyDescent="0.25">
      <c r="A4" s="46"/>
      <c r="B4" s="46"/>
      <c r="C4" s="46"/>
      <c r="D4" s="46"/>
      <c r="E4" s="46"/>
      <c r="F4" s="46"/>
      <c r="G4" s="45"/>
      <c r="H4" s="45"/>
      <c r="I4" s="1972"/>
      <c r="J4" s="1972"/>
      <c r="K4" s="123"/>
      <c r="L4" s="122"/>
      <c r="M4" s="45"/>
    </row>
    <row r="5" spans="1:13" ht="18" customHeight="1" x14ac:dyDescent="0.25">
      <c r="A5" s="1656" t="s">
        <v>2628</v>
      </c>
      <c r="B5" s="1657"/>
      <c r="C5" s="1657"/>
      <c r="D5" s="1657"/>
      <c r="E5" s="1657"/>
      <c r="F5" s="1657"/>
      <c r="G5" s="1657"/>
      <c r="H5" s="1657"/>
      <c r="I5" s="1657"/>
      <c r="J5" s="1657"/>
      <c r="K5" s="1657"/>
      <c r="L5" s="103"/>
    </row>
    <row r="6" spans="1:13" ht="18" customHeight="1" x14ac:dyDescent="0.25">
      <c r="A6" s="1659"/>
      <c r="B6" s="1660"/>
      <c r="C6" s="1660"/>
      <c r="D6" s="1660"/>
      <c r="E6" s="1660"/>
      <c r="F6" s="1660"/>
      <c r="G6" s="1660"/>
      <c r="H6" s="1660"/>
      <c r="I6" s="1660"/>
      <c r="J6" s="1660"/>
      <c r="K6" s="1660"/>
      <c r="L6" s="104"/>
    </row>
    <row r="7" spans="1:13" ht="18" customHeight="1" x14ac:dyDescent="0.25">
      <c r="A7" s="1662"/>
      <c r="B7" s="1663"/>
      <c r="C7" s="1663"/>
      <c r="D7" s="1663"/>
      <c r="E7" s="1663"/>
      <c r="F7" s="1663"/>
      <c r="G7" s="1663"/>
      <c r="H7" s="1663"/>
      <c r="I7" s="1663"/>
      <c r="J7" s="1663"/>
      <c r="K7" s="1663"/>
      <c r="L7" s="105"/>
    </row>
    <row r="8" spans="1:13" ht="10.5" customHeight="1" x14ac:dyDescent="0.25">
      <c r="A8" s="45"/>
      <c r="B8" s="46"/>
      <c r="C8" s="46"/>
      <c r="D8" s="46"/>
      <c r="E8" s="46"/>
      <c r="F8" s="45"/>
      <c r="G8" s="45"/>
      <c r="H8" s="45"/>
      <c r="I8" s="45"/>
      <c r="J8" s="45"/>
      <c r="K8" s="45"/>
      <c r="L8" s="45"/>
    </row>
    <row r="9" spans="1:13" ht="18" customHeight="1" x14ac:dyDescent="0.25">
      <c r="A9" s="1909" t="s">
        <v>116</v>
      </c>
      <c r="B9" s="1909"/>
      <c r="C9" s="1909"/>
      <c r="D9" s="1909"/>
      <c r="E9" s="1909"/>
      <c r="F9" s="1909"/>
      <c r="G9" s="1909"/>
      <c r="H9" s="1909"/>
      <c r="I9" s="1909"/>
      <c r="J9" s="1909"/>
      <c r="K9" s="1909"/>
      <c r="L9" s="32"/>
    </row>
    <row r="10" spans="1:13" x14ac:dyDescent="0.25">
      <c r="A10" s="45"/>
      <c r="B10" s="45"/>
      <c r="C10" s="45"/>
      <c r="D10" s="45"/>
      <c r="E10" s="45"/>
      <c r="F10" s="45"/>
      <c r="G10" s="45"/>
      <c r="H10" s="45"/>
      <c r="I10" s="45"/>
      <c r="J10" s="45"/>
      <c r="K10" s="45"/>
      <c r="L10" s="45"/>
    </row>
    <row r="11" spans="1:13" ht="18" customHeight="1" x14ac:dyDescent="0.25">
      <c r="A11" s="45"/>
      <c r="B11" s="1936" t="s">
        <v>83</v>
      </c>
      <c r="C11" s="1937"/>
      <c r="D11" s="1937"/>
      <c r="E11" s="1937"/>
      <c r="F11" s="377" t="s">
        <v>64</v>
      </c>
      <c r="G11" s="377" t="s">
        <v>16</v>
      </c>
      <c r="H11" s="56" t="s">
        <v>133</v>
      </c>
      <c r="I11" s="45"/>
      <c r="J11" s="45"/>
      <c r="K11" s="45"/>
      <c r="L11" s="45"/>
    </row>
    <row r="12" spans="1:13" ht="21" customHeight="1" x14ac:dyDescent="0.25">
      <c r="A12" s="45"/>
      <c r="B12" s="1832" t="s">
        <v>538</v>
      </c>
      <c r="C12" s="1833"/>
      <c r="D12" s="1833"/>
      <c r="E12" s="1833"/>
      <c r="F12" s="61">
        <v>1</v>
      </c>
      <c r="G12" s="49">
        <f>C45</f>
        <v>0</v>
      </c>
      <c r="H12" s="49" t="str">
        <f>C46</f>
        <v>No</v>
      </c>
      <c r="I12" s="45"/>
      <c r="J12" s="45"/>
      <c r="K12" s="45"/>
      <c r="L12" s="45"/>
    </row>
    <row r="13" spans="1:13" ht="19.5" customHeight="1" x14ac:dyDescent="0.25">
      <c r="A13" s="46"/>
      <c r="B13" s="46"/>
      <c r="C13" s="46"/>
      <c r="D13" s="46"/>
      <c r="E13" s="46"/>
      <c r="F13" s="46"/>
      <c r="G13" s="45"/>
      <c r="H13" s="45"/>
      <c r="I13" s="45"/>
      <c r="J13" s="45"/>
      <c r="K13" s="45"/>
      <c r="L13" s="45"/>
    </row>
    <row r="14" spans="1:13" ht="18" customHeight="1" x14ac:dyDescent="0.25">
      <c r="A14" s="1909" t="s">
        <v>102</v>
      </c>
      <c r="B14" s="1909"/>
      <c r="C14" s="1909"/>
      <c r="D14" s="1909"/>
      <c r="E14" s="1909"/>
      <c r="F14" s="1909"/>
      <c r="G14" s="1909"/>
      <c r="H14" s="1909"/>
      <c r="I14" s="1909"/>
      <c r="J14" s="1909"/>
      <c r="K14" s="1909"/>
      <c r="L14" s="46"/>
    </row>
    <row r="15" spans="1:13" ht="16.5" customHeight="1" x14ac:dyDescent="0.25">
      <c r="A15" s="46"/>
      <c r="B15" s="46"/>
      <c r="C15" s="46"/>
      <c r="D15" s="46"/>
      <c r="E15" s="46"/>
      <c r="F15" s="46"/>
      <c r="G15" s="46"/>
      <c r="H15" s="46"/>
      <c r="I15" s="46"/>
      <c r="J15" s="46"/>
      <c r="K15" s="46"/>
      <c r="L15" s="46"/>
    </row>
    <row r="16" spans="1:13" x14ac:dyDescent="0.25">
      <c r="A16" s="46"/>
      <c r="B16" s="1860" t="s">
        <v>862</v>
      </c>
      <c r="C16" s="1861"/>
      <c r="D16" s="1861"/>
      <c r="E16" s="1861"/>
      <c r="F16" s="1861"/>
      <c r="G16" s="1862"/>
      <c r="H16" s="46"/>
      <c r="I16" s="46"/>
      <c r="J16" s="46"/>
      <c r="K16" s="46"/>
      <c r="L16" s="46"/>
    </row>
    <row r="17" spans="1:13" x14ac:dyDescent="0.25">
      <c r="A17" s="46"/>
      <c r="B17" s="1973" t="s">
        <v>863</v>
      </c>
      <c r="C17" s="1974"/>
      <c r="D17" s="1974"/>
      <c r="E17" s="1974"/>
      <c r="F17" s="1974"/>
      <c r="G17" s="1975"/>
      <c r="H17" s="46"/>
      <c r="I17" s="46"/>
      <c r="J17" s="46"/>
      <c r="K17" s="46"/>
      <c r="L17" s="46"/>
    </row>
    <row r="18" spans="1:13" x14ac:dyDescent="0.25">
      <c r="A18" s="46"/>
      <c r="B18" s="1838" t="s">
        <v>125</v>
      </c>
      <c r="C18" s="1839"/>
      <c r="D18" s="1839"/>
      <c r="E18" s="1839"/>
      <c r="F18" s="1839"/>
      <c r="G18" s="1840"/>
      <c r="H18" s="46"/>
      <c r="I18" s="46"/>
      <c r="J18" s="46"/>
      <c r="K18" s="46"/>
      <c r="L18" s="46"/>
    </row>
    <row r="19" spans="1:13" x14ac:dyDescent="0.25">
      <c r="A19" s="46"/>
      <c r="B19" s="1838" t="s">
        <v>967</v>
      </c>
      <c r="C19" s="1839"/>
      <c r="D19" s="1839"/>
      <c r="E19" s="1839"/>
      <c r="F19" s="1839"/>
      <c r="G19" s="1840"/>
      <c r="H19" s="46"/>
      <c r="I19" s="46"/>
      <c r="J19" s="46"/>
      <c r="K19" s="46"/>
      <c r="L19" s="46"/>
    </row>
    <row r="20" spans="1:13" x14ac:dyDescent="0.25">
      <c r="A20" s="46"/>
      <c r="B20" s="1838" t="s">
        <v>122</v>
      </c>
      <c r="C20" s="1839"/>
      <c r="D20" s="1839"/>
      <c r="E20" s="1839"/>
      <c r="F20" s="1839"/>
      <c r="G20" s="1840"/>
      <c r="H20" s="46"/>
      <c r="I20" s="46"/>
      <c r="J20" s="46"/>
      <c r="K20" s="46"/>
      <c r="L20" s="46"/>
    </row>
    <row r="21" spans="1:13" x14ac:dyDescent="0.25">
      <c r="A21" s="46"/>
      <c r="B21" s="1945" t="s">
        <v>124</v>
      </c>
      <c r="C21" s="1946"/>
      <c r="D21" s="1946"/>
      <c r="E21" s="1946"/>
      <c r="F21" s="1946"/>
      <c r="G21" s="1947"/>
      <c r="H21" s="46"/>
      <c r="I21" s="46"/>
      <c r="J21" s="46"/>
      <c r="K21" s="46"/>
      <c r="L21" s="46"/>
    </row>
    <row r="22" spans="1:13" ht="12" customHeight="1" x14ac:dyDescent="0.25">
      <c r="A22" s="46"/>
      <c r="B22" s="501"/>
      <c r="C22" s="46"/>
      <c r="D22" s="46"/>
      <c r="E22" s="46"/>
      <c r="F22" s="46"/>
      <c r="G22" s="46"/>
      <c r="H22" s="46"/>
      <c r="I22" s="46"/>
      <c r="J22" s="46"/>
      <c r="K22" s="46"/>
      <c r="L22" s="46"/>
    </row>
    <row r="23" spans="1:13" x14ac:dyDescent="0.25">
      <c r="A23" s="46"/>
      <c r="B23" s="511" t="s">
        <v>700</v>
      </c>
      <c r="C23" s="46"/>
      <c r="D23" s="46"/>
      <c r="E23" s="46"/>
      <c r="F23" s="46"/>
      <c r="G23" s="46"/>
      <c r="H23" s="46"/>
      <c r="I23" s="46"/>
      <c r="J23" s="46"/>
      <c r="K23" s="46"/>
      <c r="L23" s="46"/>
    </row>
    <row r="24" spans="1:13" ht="12.75" customHeight="1" x14ac:dyDescent="0.25">
      <c r="A24" s="46"/>
      <c r="B24" s="501"/>
      <c r="C24" s="46"/>
      <c r="D24" s="46"/>
      <c r="E24" s="46"/>
      <c r="F24" s="46"/>
      <c r="G24" s="46"/>
      <c r="H24" s="46"/>
      <c r="I24" s="46"/>
      <c r="J24" s="46"/>
      <c r="K24" s="46"/>
      <c r="L24" s="46"/>
    </row>
    <row r="25" spans="1:13" x14ac:dyDescent="0.25">
      <c r="A25" s="46"/>
      <c r="B25" s="1836" t="s">
        <v>861</v>
      </c>
      <c r="C25" s="1837"/>
      <c r="D25" s="1837"/>
      <c r="E25" s="1837"/>
      <c r="F25" s="1837"/>
      <c r="G25" s="46"/>
      <c r="H25" s="46"/>
      <c r="I25" s="46"/>
      <c r="J25" s="46"/>
      <c r="K25" s="46"/>
      <c r="L25" s="46"/>
    </row>
    <row r="26" spans="1:13" ht="13.5" customHeight="1" x14ac:dyDescent="0.25">
      <c r="A26" s="46"/>
      <c r="B26" s="112"/>
      <c r="C26" s="46"/>
      <c r="D26" s="46"/>
      <c r="E26" s="46"/>
      <c r="F26" s="46"/>
      <c r="G26" s="46"/>
      <c r="H26" s="46"/>
      <c r="I26" s="46"/>
      <c r="J26" s="46"/>
      <c r="K26" s="46"/>
      <c r="L26" s="46"/>
    </row>
    <row r="27" spans="1:13" ht="18" customHeight="1" x14ac:dyDescent="0.25">
      <c r="A27" s="46"/>
      <c r="B27" s="1726" t="str">
        <f>IF('Project information'!C7="Certification stage","• Has a drinking water filtration system been installed?","• Will a drinking water filtration system be installed?")</f>
        <v>• Has a drinking water filtration system been installed?</v>
      </c>
      <c r="C27" s="1726"/>
      <c r="D27" s="1726"/>
      <c r="E27" s="643" t="s">
        <v>53</v>
      </c>
      <c r="F27" s="46"/>
      <c r="G27" s="46"/>
      <c r="H27" s="46"/>
      <c r="I27" s="46"/>
      <c r="J27" s="46"/>
      <c r="K27" s="46"/>
      <c r="L27" s="531" t="b">
        <v>0</v>
      </c>
      <c r="M27" s="53" t="b">
        <v>0</v>
      </c>
    </row>
    <row r="28" spans="1:13" ht="10.5" customHeight="1" x14ac:dyDescent="0.25">
      <c r="A28" s="46"/>
      <c r="B28" s="46"/>
      <c r="C28" s="46"/>
      <c r="D28" s="46"/>
      <c r="E28" s="46"/>
      <c r="F28" s="46"/>
      <c r="G28" s="46"/>
      <c r="H28" s="46"/>
      <c r="I28" s="46"/>
      <c r="J28" s="46"/>
      <c r="K28" s="46"/>
      <c r="L28" s="46"/>
    </row>
    <row r="29" spans="1:13" ht="18" customHeight="1" x14ac:dyDescent="0.25">
      <c r="A29" s="46"/>
      <c r="B29" s="1967" t="str">
        <f>IF('Project information'!C7="Certification stage","Does the filtration system contain filters that can remove the following ?","Will the filtration system contain filters that can remove the following ?")</f>
        <v>Does the filtration system contain filters that can remove the following ?</v>
      </c>
      <c r="C29" s="1968"/>
      <c r="D29" s="1968"/>
      <c r="E29" s="1968"/>
      <c r="F29" s="665" t="s">
        <v>123</v>
      </c>
      <c r="G29" s="1969" t="s">
        <v>539</v>
      </c>
      <c r="H29" s="1970"/>
      <c r="I29" s="46"/>
      <c r="J29" s="46"/>
      <c r="K29" s="46"/>
      <c r="L29" s="67"/>
    </row>
    <row r="30" spans="1:13" ht="18" customHeight="1" x14ac:dyDescent="0.25">
      <c r="A30" s="46"/>
      <c r="B30" s="1726" t="s">
        <v>125</v>
      </c>
      <c r="C30" s="1726"/>
      <c r="D30" s="1726"/>
      <c r="E30" s="841" t="s">
        <v>53</v>
      </c>
      <c r="F30" s="131" t="s">
        <v>53</v>
      </c>
      <c r="G30" s="1960"/>
      <c r="H30" s="1634"/>
      <c r="I30" s="46"/>
      <c r="J30" s="46"/>
      <c r="K30" s="46"/>
      <c r="L30" s="67" t="b">
        <f>IF(E30="Yes",TRUE,FALSE)</f>
        <v>0</v>
      </c>
      <c r="M30" s="35" t="str">
        <f>IF(AND(L30=TRUE,F30&lt;&gt;"Select"),IF(F30="other",IF(G30&lt;&gt;"","Yes","No"),"Yes"),"No")</f>
        <v>No</v>
      </c>
    </row>
    <row r="31" spans="1:13" ht="18" customHeight="1" x14ac:dyDescent="0.25">
      <c r="A31" s="46"/>
      <c r="B31" s="1726" t="s">
        <v>121</v>
      </c>
      <c r="C31" s="1726"/>
      <c r="D31" s="1726"/>
      <c r="E31" s="841" t="s">
        <v>53</v>
      </c>
      <c r="F31" s="507" t="s">
        <v>53</v>
      </c>
      <c r="G31" s="1634"/>
      <c r="H31" s="1634"/>
      <c r="I31" s="46"/>
      <c r="J31" s="46"/>
      <c r="K31" s="46"/>
      <c r="L31" s="67" t="b">
        <f t="shared" ref="L31:L33" si="0">IF(E31="Yes",TRUE,FALSE)</f>
        <v>0</v>
      </c>
      <c r="M31" s="35" t="str">
        <f t="shared" ref="M31:M33" si="1">IF(AND(L31=TRUE,F31&lt;&gt;"Select"),IF(F31="other",IF(G31&lt;&gt;"","Yes","No"),"Yes"),"No")</f>
        <v>No</v>
      </c>
    </row>
    <row r="32" spans="1:13" ht="18" customHeight="1" x14ac:dyDescent="0.25">
      <c r="A32" s="46"/>
      <c r="B32" s="1726" t="s">
        <v>122</v>
      </c>
      <c r="C32" s="1726"/>
      <c r="D32" s="1726"/>
      <c r="E32" s="841" t="s">
        <v>53</v>
      </c>
      <c r="F32" s="527" t="s">
        <v>53</v>
      </c>
      <c r="G32" s="1634"/>
      <c r="H32" s="1634"/>
      <c r="I32" s="46"/>
      <c r="J32" s="46"/>
      <c r="K32" s="46"/>
      <c r="L32" s="67" t="b">
        <f t="shared" si="0"/>
        <v>0</v>
      </c>
      <c r="M32" s="35" t="str">
        <f t="shared" si="1"/>
        <v>No</v>
      </c>
    </row>
    <row r="33" spans="1:13" ht="18" customHeight="1" x14ac:dyDescent="0.25">
      <c r="A33" s="46"/>
      <c r="B33" s="1726" t="s">
        <v>124</v>
      </c>
      <c r="C33" s="1726"/>
      <c r="D33" s="1726"/>
      <c r="E33" s="841" t="s">
        <v>53</v>
      </c>
      <c r="F33" s="527" t="s">
        <v>53</v>
      </c>
      <c r="G33" s="1634"/>
      <c r="H33" s="1634"/>
      <c r="I33" s="46"/>
      <c r="J33" s="46"/>
      <c r="K33" s="46"/>
      <c r="L33" s="67" t="b">
        <f t="shared" si="0"/>
        <v>0</v>
      </c>
      <c r="M33" s="35" t="str">
        <f t="shared" si="1"/>
        <v>No</v>
      </c>
    </row>
    <row r="34" spans="1:13" x14ac:dyDescent="0.25">
      <c r="A34" s="46"/>
      <c r="B34" s="46"/>
      <c r="C34" s="46"/>
      <c r="D34" s="46"/>
      <c r="E34" s="46"/>
      <c r="F34" s="46"/>
      <c r="G34" s="46"/>
      <c r="H34" s="46"/>
      <c r="I34" s="46"/>
      <c r="J34" s="46"/>
      <c r="K34" s="46"/>
      <c r="L34" s="46"/>
    </row>
    <row r="35" spans="1:13" ht="18" customHeight="1" x14ac:dyDescent="0.25">
      <c r="A35" s="46"/>
      <c r="B35" s="1963" t="s">
        <v>1692</v>
      </c>
      <c r="C35" s="1964"/>
      <c r="D35" s="1965"/>
      <c r="E35" s="95" t="str">
        <f>IF(AND(E27="Yes",F30&lt;&gt;"Select",E30="Yes",F31&lt;&gt;"Select",E31="Yes",F32&lt;&gt;"Select",E32="Yes",F33&lt;&gt;"Select",E33="Yes"),"Yes","No")</f>
        <v>No</v>
      </c>
      <c r="F35" s="46"/>
      <c r="G35" s="46"/>
      <c r="H35" s="46"/>
      <c r="I35" s="46"/>
      <c r="J35" s="46"/>
      <c r="K35" s="46"/>
      <c r="L35" s="46"/>
    </row>
    <row r="36" spans="1:13" ht="19.5" customHeight="1" x14ac:dyDescent="0.25">
      <c r="A36" s="46"/>
      <c r="B36" s="46"/>
      <c r="C36" s="46"/>
      <c r="D36" s="46"/>
      <c r="E36" s="46"/>
      <c r="F36" s="46"/>
      <c r="G36" s="46"/>
      <c r="H36" s="46"/>
      <c r="I36" s="46"/>
      <c r="J36" s="46"/>
      <c r="K36" s="46"/>
      <c r="L36" s="46"/>
    </row>
    <row r="37" spans="1:13" ht="18" customHeight="1" x14ac:dyDescent="0.25">
      <c r="A37" s="1909" t="s">
        <v>84</v>
      </c>
      <c r="B37" s="1909"/>
      <c r="C37" s="1909"/>
      <c r="D37" s="1909"/>
      <c r="E37" s="1909"/>
      <c r="F37" s="1909"/>
      <c r="G37" s="1909"/>
      <c r="H37" s="1909"/>
      <c r="I37" s="1909"/>
      <c r="J37" s="1909"/>
      <c r="K37" s="1909"/>
      <c r="L37" s="46"/>
    </row>
    <row r="38" spans="1:13" x14ac:dyDescent="0.25">
      <c r="A38" s="46"/>
      <c r="B38" s="46"/>
      <c r="C38" s="46"/>
      <c r="D38" s="46"/>
      <c r="E38" s="46"/>
      <c r="F38" s="46"/>
      <c r="G38" s="46"/>
      <c r="H38" s="46"/>
      <c r="I38" s="46"/>
      <c r="J38" s="46"/>
      <c r="K38" s="46"/>
      <c r="L38" s="46"/>
    </row>
    <row r="39" spans="1:13" ht="21" customHeight="1" x14ac:dyDescent="0.25">
      <c r="A39" s="45"/>
      <c r="B39" s="1897" t="s">
        <v>85</v>
      </c>
      <c r="C39" s="1898"/>
      <c r="D39" s="1898"/>
      <c r="E39" s="1898"/>
      <c r="F39" s="1898"/>
      <c r="G39" s="666" t="s">
        <v>907</v>
      </c>
      <c r="H39" s="666" t="s">
        <v>908</v>
      </c>
      <c r="I39" s="46"/>
      <c r="J39" s="45"/>
      <c r="K39" s="45"/>
      <c r="L39" s="46"/>
    </row>
    <row r="40" spans="1:13" ht="24" customHeight="1" x14ac:dyDescent="0.25">
      <c r="A40" s="45"/>
      <c r="B40" s="1961" t="str">
        <f>Submittals!G55</f>
        <v xml:space="preserve">• Product technical data showing the types of filters contained in the water filtration system </v>
      </c>
      <c r="C40" s="1962"/>
      <c r="D40" s="1962"/>
      <c r="E40" s="1962"/>
      <c r="F40" s="1962"/>
      <c r="G40" s="652" t="s">
        <v>53</v>
      </c>
      <c r="H40" s="654"/>
      <c r="I40" s="46"/>
      <c r="J40" s="45"/>
      <c r="K40" s="45"/>
      <c r="L40" s="35" t="str">
        <f>IF(OR(B40="/",B40="No evidence required at this submission stage"),"Yes",IF(H40="Submitted","Yes","No"))</f>
        <v>No</v>
      </c>
    </row>
    <row r="41" spans="1:13" ht="30" customHeight="1" x14ac:dyDescent="0.25">
      <c r="A41" s="45"/>
      <c r="B41" s="1961" t="str">
        <f>Submittals!G56</f>
        <v>• Evidence showing that the water filtration system was installed such as photographs, invoices, receipts, etc.</v>
      </c>
      <c r="C41" s="1962"/>
      <c r="D41" s="1962"/>
      <c r="E41" s="1962"/>
      <c r="F41" s="1962"/>
      <c r="G41" s="652" t="s">
        <v>53</v>
      </c>
      <c r="H41" s="654"/>
      <c r="I41" s="46"/>
      <c r="J41" s="45"/>
      <c r="K41" s="45"/>
      <c r="L41" s="35" t="str">
        <f>IF(OR(B41="/",B41="No evidence required at this submission stage"),"Yes",IF(H41="Submitted","Yes","No"))</f>
        <v>No</v>
      </c>
    </row>
    <row r="42" spans="1:13" ht="19.5" customHeight="1" x14ac:dyDescent="0.25">
      <c r="A42" s="46"/>
      <c r="B42" s="46"/>
      <c r="C42" s="46"/>
      <c r="D42" s="46"/>
      <c r="E42" s="46"/>
      <c r="F42" s="46"/>
      <c r="G42" s="46"/>
      <c r="H42" s="46"/>
      <c r="I42" s="46"/>
      <c r="J42" s="46"/>
      <c r="K42" s="46"/>
      <c r="L42" s="46"/>
    </row>
    <row r="43" spans="1:13" ht="18" customHeight="1" x14ac:dyDescent="0.25">
      <c r="A43" s="1909" t="s">
        <v>5</v>
      </c>
      <c r="B43" s="1909"/>
      <c r="C43" s="1909"/>
      <c r="D43" s="1909"/>
      <c r="E43" s="1909"/>
      <c r="F43" s="1909"/>
      <c r="G43" s="1909"/>
      <c r="H43" s="1909"/>
      <c r="I43" s="1909"/>
      <c r="J43" s="1909"/>
      <c r="K43" s="1909"/>
      <c r="L43" s="46"/>
    </row>
    <row r="44" spans="1:13" ht="16.5" customHeight="1" x14ac:dyDescent="0.25">
      <c r="A44" s="46"/>
      <c r="B44" s="46"/>
      <c r="C44" s="46"/>
      <c r="D44" s="46"/>
      <c r="E44" s="46"/>
      <c r="F44" s="46"/>
      <c r="G44" s="45"/>
      <c r="H44" s="45"/>
      <c r="I44" s="45"/>
      <c r="J44" s="45"/>
      <c r="K44" s="45"/>
      <c r="L44" s="45"/>
    </row>
    <row r="45" spans="1:13" ht="18" customHeight="1" x14ac:dyDescent="0.25">
      <c r="A45" s="46"/>
      <c r="B45" s="113" t="s">
        <v>16</v>
      </c>
      <c r="C45" s="8">
        <f>IF(E35="Yes",1,0)</f>
        <v>0</v>
      </c>
      <c r="D45" s="46"/>
      <c r="E45" s="46"/>
      <c r="F45" s="46"/>
      <c r="G45" s="46"/>
      <c r="H45" s="46"/>
      <c r="I45" s="46"/>
      <c r="J45" s="46"/>
      <c r="K45" s="46"/>
      <c r="L45" s="46"/>
    </row>
    <row r="46" spans="1:13" ht="18" customHeight="1" x14ac:dyDescent="0.25">
      <c r="A46" s="46"/>
      <c r="B46" s="113" t="s">
        <v>133</v>
      </c>
      <c r="C46" s="8" t="str">
        <f>IF(AND(COUNTIF(L40:L41,"Yes")=2,C45=1),"Yes","No")</f>
        <v>No</v>
      </c>
      <c r="D46" s="46"/>
      <c r="E46" s="46"/>
      <c r="F46" s="46"/>
      <c r="G46" s="46"/>
      <c r="H46" s="46"/>
      <c r="I46" s="46"/>
      <c r="J46" s="46"/>
      <c r="K46" s="46"/>
      <c r="L46" s="46"/>
    </row>
    <row r="47" spans="1:13" ht="19.5" customHeight="1" x14ac:dyDescent="0.25">
      <c r="A47" s="46"/>
      <c r="B47" s="46"/>
      <c r="C47" s="46"/>
      <c r="D47" s="46"/>
      <c r="E47" s="46"/>
      <c r="F47" s="46"/>
      <c r="G47" s="46"/>
      <c r="H47" s="46"/>
      <c r="I47" s="46"/>
      <c r="J47" s="46"/>
      <c r="K47" s="46"/>
      <c r="L47" s="46"/>
    </row>
    <row r="48" spans="1:13" hidden="1" x14ac:dyDescent="0.25">
      <c r="A48" s="46"/>
      <c r="B48" s="46"/>
      <c r="C48" s="46"/>
      <c r="D48" s="46"/>
      <c r="E48" s="46"/>
      <c r="F48" s="46"/>
      <c r="G48" s="46"/>
      <c r="H48" s="46"/>
      <c r="I48" s="46"/>
      <c r="J48" s="46"/>
      <c r="K48" s="46"/>
      <c r="L48" s="46"/>
    </row>
    <row r="49" spans="1:12" hidden="1" collapsed="1" x14ac:dyDescent="0.25">
      <c r="A49" s="46"/>
      <c r="B49" s="46"/>
      <c r="C49" s="46"/>
      <c r="D49" s="46"/>
      <c r="E49" s="46"/>
      <c r="F49" s="46"/>
      <c r="G49" s="45"/>
      <c r="H49" s="45"/>
      <c r="I49" s="45"/>
      <c r="J49" s="45"/>
      <c r="K49" s="45"/>
      <c r="L49" s="45"/>
    </row>
    <row r="50" spans="1:12" hidden="1" x14ac:dyDescent="0.25"/>
    <row r="51" spans="1:12" hidden="1" x14ac:dyDescent="0.25"/>
    <row r="52" spans="1:12" hidden="1" x14ac:dyDescent="0.25"/>
    <row r="53" spans="1:12" hidden="1" x14ac:dyDescent="0.25"/>
    <row r="54" spans="1:12" hidden="1" x14ac:dyDescent="0.25"/>
    <row r="55" spans="1:12" hidden="1" x14ac:dyDescent="0.25"/>
    <row r="56" spans="1:12" hidden="1" x14ac:dyDescent="0.25"/>
    <row r="57" spans="1:12" hidden="1" x14ac:dyDescent="0.25"/>
    <row r="58" spans="1:12" hidden="1" x14ac:dyDescent="0.25"/>
    <row r="59" spans="1:12" hidden="1" x14ac:dyDescent="0.25"/>
    <row r="60" spans="1:12" hidden="1" x14ac:dyDescent="0.25"/>
    <row r="61" spans="1:12" hidden="1" x14ac:dyDescent="0.25"/>
    <row r="62" spans="1:12" hidden="1" x14ac:dyDescent="0.25"/>
    <row r="63" spans="1:12" hidden="1" x14ac:dyDescent="0.25"/>
    <row r="64" spans="1: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4.2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sheetData>
  <sheetProtection algorithmName="SHA-512" hashValue="QYtHrK6R/pk+lhkiT6lzaS4kLaVjr7QSFRuA2nyaDjYUnBv2NMIhebCBiZZLcRYDAjzBlrQAlxgpPpTPLh3goQ==" saltValue="0ueRjWTlVE0HrVaM98elOg==" spinCount="100000" sheet="1" objects="1" scenarios="1" formatRows="0"/>
  <mergeCells count="31">
    <mergeCell ref="A1:K1"/>
    <mergeCell ref="B29:E29"/>
    <mergeCell ref="G29:H29"/>
    <mergeCell ref="B27:D27"/>
    <mergeCell ref="I2:J4"/>
    <mergeCell ref="A5:K7"/>
    <mergeCell ref="B25:F25"/>
    <mergeCell ref="B11:E11"/>
    <mergeCell ref="B12:E12"/>
    <mergeCell ref="A9:K9"/>
    <mergeCell ref="A14:K14"/>
    <mergeCell ref="B16:G16"/>
    <mergeCell ref="B17:G17"/>
    <mergeCell ref="B18:G18"/>
    <mergeCell ref="B19:G19"/>
    <mergeCell ref="B20:G20"/>
    <mergeCell ref="B21:G21"/>
    <mergeCell ref="A43:K43"/>
    <mergeCell ref="B31:D31"/>
    <mergeCell ref="B30:D30"/>
    <mergeCell ref="G30:H30"/>
    <mergeCell ref="G31:H31"/>
    <mergeCell ref="G32:H32"/>
    <mergeCell ref="G33:H33"/>
    <mergeCell ref="B32:D32"/>
    <mergeCell ref="B33:D33"/>
    <mergeCell ref="B39:F39"/>
    <mergeCell ref="B40:F40"/>
    <mergeCell ref="B41:F41"/>
    <mergeCell ref="B35:D35"/>
    <mergeCell ref="A37:K37"/>
  </mergeCells>
  <conditionalFormatting sqref="G40:H41">
    <cfRule type="expression" dxfId="259" priority="2">
      <formula>$B40="/"</formula>
    </cfRule>
    <cfRule type="expression" dxfId="258" priority="3">
      <formula>$B40="No evidence required at this submission stage"</formula>
    </cfRule>
  </conditionalFormatting>
  <dataValidations count="4">
    <dataValidation type="list" allowBlank="1" showInputMessage="1" showErrorMessage="1" prompt="Complete if known._x000a_If not completed, submitted documentation should show that the filtration system is capable to remove all the pollutants listed." sqref="F30:F33" xr:uid="{00000000-0002-0000-1600-000000000000}">
      <formula1>"Select,sediment filter,reverse-osmosis filter,activated carbon filter, other"</formula1>
    </dataValidation>
    <dataValidation type="list" allowBlank="1" showInputMessage="1" showErrorMessage="1" sqref="G40:G41" xr:uid="{00000000-0002-0000-1600-000001000000}">
      <formula1>"Select,Submitted,Not submitted"</formula1>
    </dataValidation>
    <dataValidation type="list" allowBlank="1" showInputMessage="1" showErrorMessage="1" sqref="E27 E30:E33" xr:uid="{00000000-0002-0000-1600-000002000000}">
      <formula1>"Select,Yes,No"</formula1>
    </dataValidation>
    <dataValidation allowBlank="1" showInputMessage="1" showErrorMessage="1" prompt="Complete if known._x000a_If not completed, submitted documentation should show that the filtration system is capable to remove all the pollutants listed." sqref="F29" xr:uid="{00000000-0002-0000-1600-000003000000}"/>
  </dataValidations>
  <hyperlinks>
    <hyperlink ref="K3" location="'W-1 Water Efficient Fixtures'!B3" tooltip="W-1" display="W-1" xr:uid="{00000000-0004-0000-1600-000000000000}"/>
  </hyperlinks>
  <pageMargins left="0.7" right="0.7" top="0.75" bottom="0.75" header="0.3" footer="0.3"/>
  <pageSetup orientation="portrait" horizontalDpi="30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5F4970"/>
  </sheetPr>
  <dimension ref="A1:Q59"/>
  <sheetViews>
    <sheetView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85546875" customWidth="1"/>
    <col min="3" max="3" width="3.5703125" customWidth="1"/>
    <col min="4" max="4" width="11.140625" customWidth="1"/>
    <col min="5" max="6" width="20.5703125" customWidth="1"/>
    <col min="7" max="8" width="19.7109375" customWidth="1"/>
    <col min="9" max="10" width="8" customWidth="1"/>
    <col min="11" max="12" width="4.7109375" customWidth="1"/>
    <col min="13" max="17" width="0" hidden="1" customWidth="1"/>
    <col min="18" max="16384" width="9.140625" hidden="1"/>
  </cols>
  <sheetData>
    <row r="1" spans="1:12" ht="30" customHeight="1" x14ac:dyDescent="0.25">
      <c r="A1" s="41"/>
      <c r="B1" s="1978" t="s">
        <v>2287</v>
      </c>
      <c r="C1" s="147"/>
      <c r="D1" s="1"/>
      <c r="E1" s="1"/>
      <c r="F1" s="1"/>
      <c r="G1" s="1"/>
      <c r="H1" s="1"/>
      <c r="I1" s="1"/>
      <c r="J1" s="1"/>
      <c r="K1" s="1"/>
      <c r="L1" s="1"/>
    </row>
    <row r="2" spans="1:12" ht="30" customHeight="1" x14ac:dyDescent="0.25">
      <c r="A2" s="41"/>
      <c r="B2" s="1978"/>
      <c r="C2" s="147"/>
      <c r="D2" s="1"/>
      <c r="E2" s="1"/>
      <c r="F2" s="1"/>
      <c r="G2" s="1"/>
      <c r="H2" s="1"/>
      <c r="I2" s="1"/>
      <c r="J2" s="1"/>
      <c r="K2" s="1"/>
      <c r="L2" s="1"/>
    </row>
    <row r="3" spans="1:12" ht="12.75" customHeight="1" x14ac:dyDescent="0.25">
      <c r="A3" s="41"/>
      <c r="B3" s="1978"/>
      <c r="C3" s="147"/>
      <c r="D3" s="1"/>
      <c r="E3" s="1"/>
      <c r="F3" s="1"/>
      <c r="G3" s="1"/>
      <c r="H3" s="1"/>
      <c r="I3" s="1"/>
      <c r="J3" s="1"/>
      <c r="K3" s="1"/>
      <c r="L3" s="1"/>
    </row>
    <row r="4" spans="1:12" ht="15" customHeight="1" x14ac:dyDescent="0.25">
      <c r="A4" s="41"/>
      <c r="B4" s="1250"/>
      <c r="C4" s="148"/>
      <c r="D4" s="1"/>
      <c r="E4" s="1"/>
      <c r="F4" s="1"/>
      <c r="G4" s="1"/>
      <c r="H4" s="1"/>
      <c r="I4" s="1"/>
      <c r="J4" s="1"/>
      <c r="K4" s="1"/>
      <c r="L4" s="1"/>
    </row>
    <row r="5" spans="1:12" ht="15" customHeight="1" x14ac:dyDescent="0.25">
      <c r="A5" s="41"/>
      <c r="B5" s="1983" t="s">
        <v>2288</v>
      </c>
      <c r="C5" s="148"/>
      <c r="D5" s="1"/>
      <c r="E5" s="1979" t="s">
        <v>118</v>
      </c>
      <c r="F5" s="1980"/>
      <c r="G5" s="1984" t="s">
        <v>119</v>
      </c>
      <c r="H5" s="1984" t="s">
        <v>16</v>
      </c>
      <c r="I5" s="1"/>
      <c r="J5" s="1"/>
      <c r="K5" s="1"/>
      <c r="L5" s="1"/>
    </row>
    <row r="6" spans="1:12" ht="15" customHeight="1" x14ac:dyDescent="0.25">
      <c r="A6" s="41"/>
      <c r="B6" s="1983"/>
      <c r="C6" s="148"/>
      <c r="D6" s="1"/>
      <c r="E6" s="1981"/>
      <c r="F6" s="1982"/>
      <c r="G6" s="1984"/>
      <c r="H6" s="1984"/>
      <c r="I6" s="1"/>
      <c r="J6" s="1"/>
      <c r="K6" s="1"/>
      <c r="L6" s="1"/>
    </row>
    <row r="7" spans="1:12" ht="23.25" customHeight="1" x14ac:dyDescent="0.25">
      <c r="A7" s="41"/>
      <c r="B7" s="1983"/>
      <c r="C7" s="148"/>
      <c r="D7" s="1"/>
      <c r="E7" s="1977" t="s">
        <v>2291</v>
      </c>
      <c r="F7" s="1977"/>
      <c r="G7" s="72">
        <v>4</v>
      </c>
      <c r="H7" s="72">
        <f>'MR-1 Sustainable Materials'!G12</f>
        <v>0</v>
      </c>
      <c r="I7" s="1"/>
      <c r="J7" s="1"/>
      <c r="K7" s="1"/>
      <c r="L7" s="1"/>
    </row>
    <row r="8" spans="1:12" ht="23.25" customHeight="1" x14ac:dyDescent="0.25">
      <c r="A8" s="79"/>
      <c r="B8" s="1983"/>
      <c r="C8" s="148"/>
      <c r="D8" s="1"/>
      <c r="E8" s="1977" t="s">
        <v>2292</v>
      </c>
      <c r="F8" s="1977"/>
      <c r="G8" s="72">
        <v>4</v>
      </c>
      <c r="H8" s="72">
        <f>'MR-2 Sustainable Furniture'!G12</f>
        <v>0</v>
      </c>
      <c r="I8" s="1"/>
      <c r="J8" s="1"/>
      <c r="K8" s="1"/>
      <c r="L8" s="1"/>
    </row>
    <row r="9" spans="1:12" ht="23.25" customHeight="1" x14ac:dyDescent="0.25">
      <c r="A9" s="79"/>
      <c r="B9" s="1983"/>
      <c r="C9" s="158"/>
      <c r="D9" s="1"/>
      <c r="E9" s="1977" t="s">
        <v>2289</v>
      </c>
      <c r="F9" s="1977"/>
      <c r="G9" s="72">
        <v>2</v>
      </c>
      <c r="H9" s="72">
        <f>'MR-3 Fit-out Waste'!G14</f>
        <v>0</v>
      </c>
      <c r="I9" s="1"/>
      <c r="J9" s="1"/>
      <c r="K9" s="1"/>
      <c r="L9" s="1"/>
    </row>
    <row r="10" spans="1:12" ht="23.25" customHeight="1" x14ac:dyDescent="0.25">
      <c r="A10" s="79"/>
      <c r="B10" s="1983"/>
      <c r="C10" s="158"/>
      <c r="D10" s="1"/>
      <c r="E10" s="1977" t="s">
        <v>2290</v>
      </c>
      <c r="F10" s="1977"/>
      <c r="G10" s="72">
        <v>2</v>
      </c>
      <c r="H10" s="72">
        <f>'MR-4 Operation Waste Management'!G14</f>
        <v>0</v>
      </c>
      <c r="I10" s="1"/>
      <c r="J10" s="1"/>
      <c r="K10" s="1"/>
      <c r="L10" s="1"/>
    </row>
    <row r="11" spans="1:12" ht="23.25" customHeight="1" x14ac:dyDescent="0.25">
      <c r="A11" s="79"/>
      <c r="B11" s="1983"/>
      <c r="C11" s="148"/>
      <c r="D11" s="1"/>
      <c r="E11" s="83" t="s">
        <v>25</v>
      </c>
      <c r="F11" s="81"/>
      <c r="G11" s="82">
        <f>SUM(G7:G10)</f>
        <v>12</v>
      </c>
      <c r="H11" s="82">
        <f>SUM(H7:H10)</f>
        <v>0</v>
      </c>
      <c r="I11" s="1"/>
      <c r="J11" s="1"/>
      <c r="K11" s="1"/>
      <c r="L11" s="1"/>
    </row>
    <row r="12" spans="1:12" ht="13.5" customHeight="1" x14ac:dyDescent="0.25">
      <c r="A12" s="79"/>
      <c r="B12" s="1250"/>
      <c r="C12" s="148"/>
      <c r="D12" s="1"/>
      <c r="E12" s="1"/>
      <c r="F12" s="1"/>
      <c r="G12" s="1"/>
      <c r="H12" s="1"/>
      <c r="I12" s="3"/>
      <c r="J12" s="3"/>
      <c r="K12" s="3"/>
      <c r="L12" s="3"/>
    </row>
    <row r="13" spans="1:12" ht="16.5" customHeight="1" x14ac:dyDescent="0.25">
      <c r="A13" s="79"/>
      <c r="B13" s="1250"/>
      <c r="C13" s="158"/>
      <c r="D13" s="1"/>
      <c r="E13" s="1"/>
      <c r="F13" s="1"/>
      <c r="G13" s="1"/>
      <c r="H13" s="1"/>
      <c r="I13" s="3"/>
      <c r="J13" s="3"/>
      <c r="K13" s="3"/>
      <c r="L13" s="3"/>
    </row>
    <row r="14" spans="1:12" ht="15" customHeight="1" x14ac:dyDescent="0.25">
      <c r="A14" s="79"/>
      <c r="B14" s="80"/>
      <c r="C14" s="80"/>
      <c r="D14" s="1"/>
      <c r="E14" s="1"/>
      <c r="F14" s="1"/>
      <c r="G14" s="1"/>
      <c r="H14" s="1"/>
      <c r="I14" s="1"/>
      <c r="J14" s="1"/>
      <c r="K14" s="1"/>
      <c r="L14" s="1"/>
    </row>
    <row r="15" spans="1:12" ht="15" customHeight="1" x14ac:dyDescent="0.25">
      <c r="A15" s="79"/>
      <c r="B15" s="80"/>
      <c r="C15" s="80"/>
      <c r="D15" s="1"/>
      <c r="E15" s="1"/>
      <c r="F15" s="1"/>
      <c r="G15" s="1"/>
      <c r="H15" s="1"/>
      <c r="I15" s="1"/>
      <c r="J15" s="1"/>
      <c r="K15" s="1"/>
      <c r="L15" s="1"/>
    </row>
    <row r="16" spans="1:12" ht="15" hidden="1" customHeight="1" x14ac:dyDescent="0.25">
      <c r="A16" s="1976"/>
      <c r="B16" s="1976"/>
      <c r="C16" s="146"/>
      <c r="D16" s="1"/>
      <c r="E16" s="1"/>
      <c r="F16" s="1"/>
      <c r="G16" s="1"/>
      <c r="H16" s="1"/>
      <c r="I16" s="1"/>
      <c r="J16" s="1"/>
      <c r="K16" s="1"/>
      <c r="L16" s="1"/>
    </row>
    <row r="17" spans="1:12" ht="15" hidden="1" customHeight="1" x14ac:dyDescent="0.25">
      <c r="A17" s="69"/>
      <c r="B17" s="78"/>
      <c r="C17" s="78"/>
      <c r="D17" s="1"/>
      <c r="E17" s="1"/>
      <c r="F17" s="1"/>
      <c r="G17" s="1"/>
      <c r="H17" s="1"/>
      <c r="I17" s="1"/>
      <c r="J17" s="1"/>
      <c r="K17" s="1"/>
      <c r="L17" s="1"/>
    </row>
    <row r="18" spans="1:12" ht="15" hidden="1" customHeight="1" x14ac:dyDescent="0.25">
      <c r="A18" s="69"/>
      <c r="B18" s="78"/>
      <c r="C18" s="78"/>
      <c r="D18" s="1"/>
      <c r="E18" s="1"/>
      <c r="F18" s="1"/>
      <c r="G18" s="1"/>
      <c r="H18" s="1"/>
      <c r="I18" s="1"/>
      <c r="J18" s="1"/>
      <c r="K18" s="1"/>
      <c r="L18" s="1"/>
    </row>
    <row r="19" spans="1:12" ht="15" hidden="1" customHeight="1" x14ac:dyDescent="0.25">
      <c r="A19" s="69"/>
      <c r="B19" s="78"/>
      <c r="C19" s="78"/>
      <c r="D19" s="1"/>
      <c r="E19" s="1"/>
      <c r="F19" s="1"/>
      <c r="G19" s="1"/>
      <c r="H19" s="1"/>
      <c r="I19" s="1"/>
      <c r="J19" s="1"/>
      <c r="K19" s="1"/>
      <c r="L19" s="1"/>
    </row>
    <row r="20" spans="1:12" ht="15" hidden="1" customHeight="1" x14ac:dyDescent="0.25">
      <c r="A20" s="69"/>
      <c r="B20" s="78"/>
      <c r="C20" s="78"/>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c r="A44" s="1"/>
      <c r="B44" s="2"/>
      <c r="C44" s="2"/>
      <c r="D44" s="1"/>
      <c r="I44" s="1"/>
      <c r="J44" s="1"/>
      <c r="K44" s="1"/>
      <c r="L44" s="1"/>
    </row>
    <row r="45" spans="1:12" ht="15" hidden="1" customHeight="1" x14ac:dyDescent="0.25">
      <c r="A45" s="1"/>
      <c r="B45" s="2"/>
      <c r="C45" s="2"/>
      <c r="D45" s="1"/>
      <c r="I45" s="1"/>
      <c r="J45" s="1"/>
      <c r="K45" s="1"/>
      <c r="L45" s="1"/>
    </row>
    <row r="46" spans="1:12" ht="15" hidden="1" customHeight="1" x14ac:dyDescent="0.25">
      <c r="A46" s="1"/>
      <c r="B46" s="2"/>
      <c r="C46" s="2"/>
      <c r="D46" s="1"/>
      <c r="I46" s="1"/>
      <c r="J46" s="1"/>
      <c r="K46" s="1"/>
      <c r="L46" s="1"/>
    </row>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9" ht="0" hidden="1" customHeight="1" x14ac:dyDescent="0.25"/>
  </sheetData>
  <sheetProtection algorithmName="SHA-512" hashValue="rSaGiBfrLKTMS/QT3iTsnTN5kSfadjVQVznr7trXneRpCKz3Mb6pXu9buxJq5zngZVrBGysZ5BKBmew2FCcsJg==" saltValue="Opa8Fprfywd2/fmzGw2tNQ==" spinCount="100000" sheet="1" objects="1" scenarios="1" formatRows="0"/>
  <mergeCells count="10">
    <mergeCell ref="G5:G6"/>
    <mergeCell ref="H5:H6"/>
    <mergeCell ref="E7:F7"/>
    <mergeCell ref="E9:F9"/>
    <mergeCell ref="E10:F10"/>
    <mergeCell ref="A16:B16"/>
    <mergeCell ref="E8:F8"/>
    <mergeCell ref="B1:B3"/>
    <mergeCell ref="E5:F6"/>
    <mergeCell ref="B5:B11"/>
  </mergeCells>
  <hyperlinks>
    <hyperlink ref="E7:F7" location="'MR-1 Sustainable Materials'!B3" tooltip="MR-1 Sustainable Materials" display="MR-1 Sustainable Materials" xr:uid="{00000000-0004-0000-1700-000000000000}"/>
    <hyperlink ref="E8:F8" location="'MR-2 Sustainable Furniture'!B3" tooltip="MR-2 Sustainable Furniture Products" display="MR-2 Sustainable Furniture Products" xr:uid="{00000000-0004-0000-1700-000001000000}"/>
    <hyperlink ref="E9:F9" location="'MR-3 Fit-out Waste'!B3" tooltip="MR-3 Fit-out Waste" display="MR-3 Fit-out Waste" xr:uid="{84B92EA8-ECA6-44ED-8849-CFDD07898049}"/>
    <hyperlink ref="E10:F10" location="'MR-4 Operation Waste Management'!B3" tooltip="MR-4 Operation Waste Management" display="MR-4 Operation Waste Management" xr:uid="{C4180524-7192-4378-ADFA-8BEC78958123}"/>
  </hyperlink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rgb="FF5F4970"/>
  </sheetPr>
  <dimension ref="A1:Q499"/>
  <sheetViews>
    <sheetView showRowColHeaders="0" workbookViewId="0">
      <pane ySplit="1" topLeftCell="A41" activePane="bottomLeft" state="frozen"/>
      <selection pane="bottomLeft" sqref="A1:Q1"/>
    </sheetView>
  </sheetViews>
  <sheetFormatPr defaultColWidth="0" defaultRowHeight="15" customHeight="1" zeroHeight="1" x14ac:dyDescent="0.25"/>
  <cols>
    <col min="1" max="1" width="4.140625" customWidth="1"/>
    <col min="2" max="2" width="11.140625" customWidth="1"/>
    <col min="3" max="3" width="9.7109375" customWidth="1"/>
    <col min="4" max="16" width="9.140625" customWidth="1"/>
    <col min="17" max="17" width="7.5703125" customWidth="1"/>
    <col min="18" max="16384" width="9.140625" hidden="1"/>
  </cols>
  <sheetData>
    <row r="1" spans="1:17" s="11" customFormat="1" ht="30" customHeight="1" x14ac:dyDescent="0.2">
      <c r="A1" s="1985" t="s">
        <v>2333</v>
      </c>
      <c r="B1" s="1985"/>
      <c r="C1" s="1985"/>
      <c r="D1" s="1985"/>
      <c r="E1" s="1985"/>
      <c r="F1" s="1985"/>
      <c r="G1" s="1985"/>
      <c r="H1" s="1985"/>
      <c r="I1" s="1985"/>
      <c r="J1" s="1985"/>
      <c r="K1" s="1985"/>
      <c r="L1" s="1985"/>
      <c r="M1" s="1985"/>
      <c r="N1" s="1985"/>
      <c r="O1" s="1985"/>
      <c r="P1" s="1985"/>
      <c r="Q1" s="1985"/>
    </row>
    <row r="2" spans="1:17" s="11" customFormat="1" ht="16.5" customHeight="1" x14ac:dyDescent="0.2">
      <c r="A2" s="12"/>
      <c r="B2" s="12"/>
      <c r="C2" s="12"/>
      <c r="D2" s="13"/>
      <c r="E2" s="13"/>
      <c r="F2" s="13"/>
      <c r="G2" s="13"/>
      <c r="H2" s="13"/>
      <c r="I2" s="13"/>
      <c r="J2" s="13"/>
      <c r="K2" s="13"/>
      <c r="L2" s="13"/>
      <c r="M2" s="13"/>
      <c r="N2" s="13"/>
      <c r="O2" s="13"/>
      <c r="P2" s="13"/>
      <c r="Q2" s="13"/>
    </row>
    <row r="3" spans="1:17" s="11" customFormat="1" ht="21" customHeight="1" x14ac:dyDescent="0.2">
      <c r="A3" s="1986" t="s">
        <v>1795</v>
      </c>
      <c r="B3" s="1986"/>
      <c r="C3" s="1986"/>
      <c r="D3" s="1986"/>
      <c r="E3" s="1986"/>
      <c r="F3" s="1986"/>
      <c r="G3" s="1986"/>
      <c r="H3" s="1986"/>
      <c r="I3" s="1986"/>
      <c r="J3" s="1986"/>
      <c r="K3" s="1986"/>
      <c r="L3" s="1986"/>
      <c r="M3" s="1986"/>
      <c r="N3" s="1986"/>
      <c r="O3" s="1986"/>
      <c r="P3" s="1986"/>
      <c r="Q3" s="1986"/>
    </row>
    <row r="4" spans="1:17" s="11" customFormat="1" ht="15" customHeight="1" x14ac:dyDescent="0.2">
      <c r="A4" s="12"/>
      <c r="B4" s="12"/>
      <c r="C4" s="12"/>
      <c r="D4" s="12"/>
      <c r="E4" s="12"/>
      <c r="F4" s="12"/>
      <c r="G4" s="12"/>
      <c r="H4" s="12"/>
      <c r="I4" s="12"/>
      <c r="J4" s="12"/>
      <c r="K4" s="12"/>
      <c r="L4" s="12"/>
      <c r="M4" s="12"/>
      <c r="N4" s="12"/>
      <c r="O4" s="12"/>
      <c r="P4" s="12"/>
      <c r="Q4" s="12"/>
    </row>
    <row r="5" spans="1:17" s="585" customFormat="1" x14ac:dyDescent="0.25">
      <c r="A5" s="584"/>
      <c r="B5" s="1107" t="s">
        <v>2004</v>
      </c>
      <c r="C5" s="240"/>
      <c r="D5" s="240"/>
      <c r="E5" s="240"/>
      <c r="F5" s="240"/>
      <c r="G5" s="240"/>
      <c r="H5" s="240"/>
      <c r="I5" s="240"/>
      <c r="J5" s="240"/>
      <c r="K5" s="240"/>
      <c r="L5" s="240"/>
      <c r="M5" s="240"/>
      <c r="N5" s="240"/>
      <c r="O5" s="240"/>
      <c r="P5" s="240"/>
      <c r="Q5" s="584"/>
    </row>
    <row r="6" spans="1:17" s="585" customFormat="1" ht="14.25" x14ac:dyDescent="0.25">
      <c r="A6" s="584"/>
      <c r="B6" s="1032" t="s">
        <v>2005</v>
      </c>
      <c r="C6" s="240"/>
      <c r="D6" s="240"/>
      <c r="E6" s="240"/>
      <c r="F6" s="240"/>
      <c r="G6" s="240"/>
      <c r="H6" s="240"/>
      <c r="I6" s="240"/>
      <c r="J6" s="240"/>
      <c r="K6" s="240"/>
      <c r="L6" s="240"/>
      <c r="M6" s="240"/>
      <c r="N6" s="240"/>
      <c r="O6" s="240"/>
      <c r="P6" s="240"/>
      <c r="Q6" s="584"/>
    </row>
    <row r="7" spans="1:17" s="11" customFormat="1" ht="14.25" x14ac:dyDescent="0.2">
      <c r="A7" s="12"/>
      <c r="B7" s="1038" t="s">
        <v>2006</v>
      </c>
      <c r="C7" s="12"/>
      <c r="D7" s="12"/>
      <c r="E7" s="12"/>
      <c r="F7" s="12"/>
      <c r="G7" s="12"/>
      <c r="H7" s="12"/>
      <c r="I7" s="12"/>
      <c r="J7" s="12"/>
      <c r="K7" s="12"/>
      <c r="L7" s="12"/>
      <c r="M7" s="12"/>
      <c r="N7" s="12"/>
      <c r="O7" s="12"/>
      <c r="P7" s="12"/>
      <c r="Q7" s="12"/>
    </row>
    <row r="8" spans="1:17" s="587" customFormat="1" ht="14.25" x14ac:dyDescent="0.2">
      <c r="A8" s="586"/>
      <c r="B8" s="1039" t="s">
        <v>2007</v>
      </c>
      <c r="C8" s="240"/>
      <c r="D8" s="240"/>
      <c r="E8" s="240"/>
      <c r="F8" s="240"/>
      <c r="G8" s="240"/>
      <c r="H8" s="240"/>
      <c r="I8" s="240"/>
      <c r="J8" s="240"/>
      <c r="K8" s="240"/>
      <c r="L8" s="240"/>
      <c r="M8" s="240"/>
      <c r="N8" s="240"/>
      <c r="O8" s="240"/>
      <c r="P8" s="240"/>
      <c r="Q8" s="586"/>
    </row>
    <row r="9" spans="1:17" s="587" customFormat="1" ht="14.25" x14ac:dyDescent="0.2">
      <c r="A9" s="586"/>
      <c r="B9" s="1039" t="s">
        <v>2008</v>
      </c>
      <c r="C9" s="1031"/>
      <c r="D9" s="1031"/>
      <c r="E9" s="1031"/>
      <c r="F9" s="1031"/>
      <c r="G9" s="1031"/>
      <c r="H9" s="1031"/>
      <c r="I9" s="1031"/>
      <c r="J9" s="1031"/>
      <c r="K9" s="1031"/>
      <c r="L9" s="1031"/>
      <c r="M9" s="1031"/>
      <c r="N9" s="1031"/>
      <c r="O9" s="1031"/>
      <c r="P9" s="1031"/>
      <c r="Q9" s="586"/>
    </row>
    <row r="10" spans="1:17" s="587" customFormat="1" ht="12" customHeight="1" x14ac:dyDescent="0.2">
      <c r="A10" s="586"/>
      <c r="B10" s="584"/>
      <c r="C10" s="1031"/>
      <c r="D10" s="1031"/>
      <c r="E10" s="1031"/>
      <c r="F10" s="1031"/>
      <c r="G10" s="1031"/>
      <c r="H10" s="1031"/>
      <c r="I10" s="1031"/>
      <c r="J10" s="1031"/>
      <c r="K10" s="1031"/>
      <c r="L10" s="1031"/>
      <c r="M10" s="1031"/>
      <c r="N10" s="1031"/>
      <c r="O10" s="1031"/>
      <c r="P10" s="1031"/>
      <c r="Q10" s="586"/>
    </row>
    <row r="11" spans="1:17" s="587" customFormat="1" x14ac:dyDescent="0.2">
      <c r="A11" s="586"/>
      <c r="B11" s="1107" t="s">
        <v>2003</v>
      </c>
      <c r="C11" s="1071"/>
      <c r="D11" s="1071"/>
      <c r="E11" s="1071"/>
      <c r="F11" s="1071"/>
      <c r="G11" s="1071"/>
      <c r="H11" s="1071"/>
      <c r="I11" s="1071"/>
      <c r="J11" s="1071"/>
      <c r="K11" s="1071"/>
      <c r="L11" s="1071"/>
      <c r="M11" s="1071"/>
      <c r="N11" s="1071"/>
      <c r="O11" s="1071"/>
      <c r="P11" s="1071"/>
      <c r="Q11" s="586"/>
    </row>
    <row r="12" spans="1:17" s="587" customFormat="1" ht="14.25" x14ac:dyDescent="0.2">
      <c r="A12" s="586"/>
      <c r="B12" s="584" t="s">
        <v>2009</v>
      </c>
      <c r="C12" s="584"/>
      <c r="D12" s="584"/>
      <c r="E12" s="584"/>
      <c r="F12" s="584"/>
      <c r="G12" s="584"/>
      <c r="H12" s="584"/>
      <c r="I12" s="584"/>
      <c r="J12" s="584"/>
      <c r="K12" s="584"/>
      <c r="L12" s="584"/>
      <c r="M12" s="584"/>
      <c r="N12" s="584"/>
      <c r="O12" s="584"/>
      <c r="P12" s="584"/>
      <c r="Q12" s="586"/>
    </row>
    <row r="13" spans="1:17" s="587" customFormat="1" ht="12" customHeight="1" x14ac:dyDescent="0.2">
      <c r="A13" s="586"/>
      <c r="B13" s="584"/>
      <c r="C13" s="584"/>
      <c r="D13" s="584"/>
      <c r="E13" s="584"/>
      <c r="F13" s="584"/>
      <c r="G13" s="584"/>
      <c r="H13" s="584"/>
      <c r="I13" s="584"/>
      <c r="J13" s="584"/>
      <c r="K13" s="584"/>
      <c r="L13" s="584"/>
      <c r="M13" s="584"/>
      <c r="N13" s="584"/>
      <c r="O13" s="584"/>
      <c r="P13" s="584"/>
      <c r="Q13" s="586"/>
    </row>
    <row r="14" spans="1:17" s="587" customFormat="1" x14ac:dyDescent="0.2">
      <c r="A14" s="586"/>
      <c r="B14" s="1107" t="s">
        <v>2002</v>
      </c>
      <c r="C14" s="584"/>
      <c r="D14" s="584"/>
      <c r="E14" s="584"/>
      <c r="F14" s="584"/>
      <c r="G14" s="584"/>
      <c r="H14" s="584"/>
      <c r="I14" s="584"/>
      <c r="J14" s="584"/>
      <c r="K14" s="584"/>
      <c r="L14" s="584"/>
      <c r="M14" s="584"/>
      <c r="N14" s="584"/>
      <c r="O14" s="584"/>
      <c r="P14" s="584"/>
      <c r="Q14" s="586"/>
    </row>
    <row r="15" spans="1:17" s="11" customFormat="1" ht="14.25" x14ac:dyDescent="0.2">
      <c r="A15" s="12"/>
      <c r="B15" s="12" t="s">
        <v>2010</v>
      </c>
      <c r="C15" s="12"/>
      <c r="D15" s="12"/>
      <c r="E15" s="12"/>
      <c r="F15" s="12"/>
      <c r="G15" s="12"/>
      <c r="H15" s="12"/>
      <c r="I15" s="12"/>
      <c r="J15" s="12"/>
      <c r="K15" s="12"/>
      <c r="L15" s="12"/>
      <c r="M15" s="12"/>
      <c r="N15" s="12"/>
      <c r="O15" s="12"/>
      <c r="P15" s="12"/>
      <c r="Q15" s="12"/>
    </row>
    <row r="16" spans="1:17" s="11" customFormat="1" ht="14.25" x14ac:dyDescent="0.2">
      <c r="A16" s="12"/>
      <c r="B16" s="12" t="s">
        <v>1794</v>
      </c>
      <c r="C16" s="12"/>
      <c r="D16" s="12"/>
      <c r="E16" s="12"/>
      <c r="F16" s="12"/>
      <c r="G16" s="12"/>
      <c r="H16" s="12"/>
      <c r="I16" s="12"/>
      <c r="J16" s="12"/>
      <c r="K16" s="584"/>
      <c r="L16" s="12"/>
      <c r="M16" s="12"/>
      <c r="N16" s="12"/>
      <c r="O16" s="12"/>
      <c r="P16" s="12"/>
      <c r="Q16" s="12"/>
    </row>
    <row r="17" spans="1:17" s="11" customFormat="1" ht="6" customHeight="1" x14ac:dyDescent="0.2">
      <c r="A17" s="12"/>
      <c r="B17" s="12"/>
      <c r="C17" s="12"/>
      <c r="D17" s="12"/>
      <c r="E17" s="12"/>
      <c r="F17" s="12"/>
      <c r="G17" s="12"/>
      <c r="H17" s="12"/>
      <c r="I17" s="12"/>
      <c r="J17" s="12"/>
      <c r="K17" s="584"/>
      <c r="L17" s="12"/>
      <c r="M17" s="12"/>
      <c r="N17" s="12"/>
      <c r="O17" s="12"/>
      <c r="P17" s="12"/>
      <c r="Q17" s="12"/>
    </row>
    <row r="18" spans="1:17" s="11" customFormat="1" ht="14.25" x14ac:dyDescent="0.2">
      <c r="A18" s="12"/>
      <c r="B18" s="1105" t="s">
        <v>1802</v>
      </c>
      <c r="C18" s="12"/>
      <c r="D18" s="12"/>
      <c r="E18" s="12"/>
      <c r="F18" s="12"/>
      <c r="G18" s="12"/>
      <c r="H18" s="12"/>
      <c r="I18" s="12"/>
      <c r="J18" s="12"/>
      <c r="K18" s="584"/>
      <c r="L18" s="12"/>
      <c r="M18" s="12"/>
      <c r="N18" s="12"/>
      <c r="O18" s="12"/>
      <c r="P18" s="12"/>
      <c r="Q18" s="12"/>
    </row>
    <row r="19" spans="1:17" s="11" customFormat="1" ht="14.25" x14ac:dyDescent="0.2">
      <c r="A19" s="12"/>
      <c r="B19" s="1105" t="s">
        <v>1801</v>
      </c>
      <c r="C19" s="12"/>
      <c r="D19" s="12"/>
      <c r="E19" s="12"/>
      <c r="F19" s="12"/>
      <c r="G19" s="12"/>
      <c r="H19" s="12"/>
      <c r="I19" s="12"/>
      <c r="J19" s="12"/>
      <c r="K19" s="584"/>
      <c r="L19" s="12"/>
      <c r="M19" s="12"/>
      <c r="N19" s="12"/>
      <c r="O19" s="12"/>
      <c r="P19" s="12"/>
      <c r="Q19" s="12"/>
    </row>
    <row r="20" spans="1:17" s="11" customFormat="1" ht="6" customHeight="1" x14ac:dyDescent="0.2">
      <c r="A20" s="12"/>
      <c r="B20" s="1106"/>
      <c r="C20" s="12"/>
      <c r="D20" s="12"/>
      <c r="E20" s="12"/>
      <c r="F20" s="12"/>
      <c r="G20" s="12"/>
      <c r="H20" s="12"/>
      <c r="I20" s="12"/>
      <c r="J20" s="12"/>
      <c r="K20" s="584"/>
      <c r="L20" s="12"/>
      <c r="M20" s="12"/>
      <c r="N20" s="12"/>
      <c r="O20" s="12"/>
      <c r="P20" s="12"/>
      <c r="Q20" s="12"/>
    </row>
    <row r="21" spans="1:17" s="11" customFormat="1" ht="14.25" x14ac:dyDescent="0.2">
      <c r="A21" s="12"/>
      <c r="B21" s="1990" t="s">
        <v>1803</v>
      </c>
      <c r="C21" s="1990"/>
      <c r="D21" s="1990"/>
      <c r="E21" s="1990"/>
      <c r="F21" s="1990"/>
      <c r="G21" s="1990"/>
      <c r="H21" s="1990"/>
      <c r="I21" s="1990"/>
      <c r="J21" s="1990"/>
      <c r="K21" s="1990"/>
      <c r="L21" s="1990"/>
      <c r="M21" s="1990"/>
      <c r="N21" s="1990"/>
      <c r="O21" s="1990"/>
      <c r="P21" s="1990"/>
      <c r="Q21" s="12"/>
    </row>
    <row r="22" spans="1:17" s="11" customFormat="1" ht="14.25" x14ac:dyDescent="0.2">
      <c r="A22" s="12"/>
      <c r="B22" s="1990"/>
      <c r="C22" s="1990"/>
      <c r="D22" s="1990"/>
      <c r="E22" s="1990"/>
      <c r="F22" s="1990"/>
      <c r="G22" s="1990"/>
      <c r="H22" s="1990"/>
      <c r="I22" s="1990"/>
      <c r="J22" s="1990"/>
      <c r="K22" s="1990"/>
      <c r="L22" s="1990"/>
      <c r="M22" s="1990"/>
      <c r="N22" s="1990"/>
      <c r="O22" s="1990"/>
      <c r="P22" s="1990"/>
      <c r="Q22" s="12"/>
    </row>
    <row r="23" spans="1:17" s="11" customFormat="1" ht="12" customHeight="1" x14ac:dyDescent="0.2">
      <c r="A23" s="12"/>
      <c r="B23" s="12"/>
      <c r="C23" s="12"/>
      <c r="D23" s="12"/>
      <c r="E23" s="12"/>
      <c r="F23" s="12"/>
      <c r="G23" s="12"/>
      <c r="H23" s="12"/>
      <c r="I23" s="12"/>
      <c r="J23" s="12"/>
      <c r="K23" s="12"/>
      <c r="L23" s="12"/>
      <c r="M23" s="12"/>
      <c r="N23" s="12"/>
      <c r="O23" s="12"/>
      <c r="P23" s="12"/>
      <c r="Q23" s="12"/>
    </row>
    <row r="24" spans="1:17" s="11" customFormat="1" ht="24" customHeight="1" x14ac:dyDescent="0.2">
      <c r="A24" s="12"/>
      <c r="B24" s="1987" t="s">
        <v>2525</v>
      </c>
      <c r="C24" s="1988"/>
      <c r="D24" s="1988"/>
      <c r="E24" s="1988"/>
      <c r="F24" s="1988"/>
      <c r="G24" s="1988"/>
      <c r="H24" s="1989"/>
      <c r="I24" s="12"/>
      <c r="J24" s="12"/>
      <c r="K24" s="12"/>
      <c r="L24" s="12"/>
      <c r="M24" s="12"/>
      <c r="N24" s="12"/>
      <c r="O24" s="12"/>
      <c r="P24" s="12"/>
      <c r="Q24" s="12"/>
    </row>
    <row r="25" spans="1:17" s="11" customFormat="1" ht="14.25" x14ac:dyDescent="0.2">
      <c r="A25" s="12"/>
      <c r="B25" s="584" t="s">
        <v>762</v>
      </c>
      <c r="C25" s="584"/>
      <c r="D25" s="584"/>
      <c r="E25" s="584"/>
      <c r="F25" s="584"/>
      <c r="G25" s="584"/>
      <c r="H25" s="584"/>
      <c r="I25" s="584"/>
      <c r="J25" s="12"/>
      <c r="K25" s="12"/>
      <c r="L25" s="12"/>
      <c r="M25" s="12"/>
      <c r="N25" s="12"/>
      <c r="O25" s="12"/>
      <c r="P25" s="12"/>
      <c r="Q25" s="12"/>
    </row>
    <row r="26" spans="1:17" s="11" customFormat="1" ht="14.25" x14ac:dyDescent="0.2">
      <c r="A26" s="12"/>
      <c r="B26" s="584" t="s">
        <v>761</v>
      </c>
      <c r="C26" s="584"/>
      <c r="D26" s="584"/>
      <c r="E26" s="584"/>
      <c r="F26" s="584"/>
      <c r="G26" s="584"/>
      <c r="H26" s="584"/>
      <c r="I26" s="584"/>
      <c r="J26" s="12"/>
      <c r="K26" s="12"/>
      <c r="L26" s="12"/>
      <c r="M26" s="12"/>
      <c r="N26" s="12"/>
      <c r="O26" s="12"/>
      <c r="P26" s="12"/>
      <c r="Q26" s="12"/>
    </row>
    <row r="27" spans="1:17" s="11" customFormat="1" ht="12" customHeight="1" x14ac:dyDescent="0.2">
      <c r="A27" s="12"/>
      <c r="B27" s="12"/>
      <c r="C27" s="584"/>
      <c r="D27" s="584"/>
      <c r="E27" s="584"/>
      <c r="F27" s="584"/>
      <c r="G27" s="584"/>
      <c r="H27" s="584"/>
      <c r="I27" s="584"/>
      <c r="J27" s="584"/>
      <c r="K27" s="12"/>
      <c r="L27" s="12"/>
      <c r="M27" s="12"/>
      <c r="N27" s="12"/>
      <c r="O27" s="12"/>
      <c r="P27" s="12"/>
      <c r="Q27" s="12"/>
    </row>
    <row r="28" spans="1:17" s="11" customFormat="1" x14ac:dyDescent="0.2">
      <c r="A28" s="12"/>
      <c r="B28" s="1107" t="s">
        <v>2001</v>
      </c>
      <c r="C28" s="584"/>
      <c r="D28" s="584"/>
      <c r="E28" s="584"/>
      <c r="F28" s="584"/>
      <c r="G28" s="584"/>
      <c r="H28" s="584"/>
      <c r="I28" s="12"/>
      <c r="J28" s="12"/>
      <c r="K28" s="12"/>
      <c r="L28" s="12"/>
      <c r="M28" s="12"/>
      <c r="N28" s="12"/>
      <c r="O28" s="12"/>
      <c r="P28" s="12"/>
      <c r="Q28" s="12"/>
    </row>
    <row r="29" spans="1:17" s="11" customFormat="1" ht="14.25" x14ac:dyDescent="0.2">
      <c r="A29" s="12"/>
      <c r="B29" s="584" t="s">
        <v>2011</v>
      </c>
      <c r="C29" s="584"/>
      <c r="D29" s="584"/>
      <c r="E29" s="584"/>
      <c r="F29" s="584"/>
      <c r="G29" s="584"/>
      <c r="H29" s="584"/>
      <c r="I29" s="584"/>
      <c r="J29" s="584"/>
      <c r="K29" s="584"/>
      <c r="L29" s="584"/>
      <c r="M29" s="584"/>
      <c r="N29" s="584"/>
      <c r="O29" s="584"/>
      <c r="P29" s="584"/>
      <c r="Q29" s="12"/>
    </row>
    <row r="30" spans="1:17" s="11" customFormat="1" ht="12" customHeight="1" x14ac:dyDescent="0.2">
      <c r="A30" s="12"/>
      <c r="B30" s="240"/>
      <c r="C30" s="240"/>
      <c r="D30" s="240"/>
      <c r="E30" s="240"/>
      <c r="F30" s="240"/>
      <c r="G30" s="240"/>
      <c r="H30" s="240"/>
      <c r="I30" s="240"/>
      <c r="J30" s="240"/>
      <c r="K30" s="240"/>
      <c r="L30" s="240"/>
      <c r="M30" s="240"/>
      <c r="N30" s="240"/>
      <c r="O30" s="240"/>
      <c r="P30" s="240"/>
      <c r="Q30" s="12"/>
    </row>
    <row r="31" spans="1:17" s="11" customFormat="1" x14ac:dyDescent="0.2">
      <c r="A31" s="12"/>
      <c r="B31" s="1107" t="s">
        <v>2040</v>
      </c>
      <c r="C31" s="584"/>
      <c r="D31" s="584"/>
      <c r="E31" s="584"/>
      <c r="F31" s="584"/>
      <c r="G31" s="584"/>
      <c r="H31" s="584"/>
      <c r="I31" s="584"/>
      <c r="J31" s="584"/>
      <c r="K31" s="584"/>
      <c r="L31" s="584"/>
      <c r="M31" s="584"/>
      <c r="N31" s="584"/>
      <c r="O31" s="584"/>
      <c r="P31" s="584"/>
      <c r="Q31" s="12"/>
    </row>
    <row r="32" spans="1:17" s="11" customFormat="1" ht="28.5" customHeight="1" x14ac:dyDescent="0.2">
      <c r="A32" s="12"/>
      <c r="B32" s="1991" t="s">
        <v>2510</v>
      </c>
      <c r="C32" s="1991"/>
      <c r="D32" s="1991"/>
      <c r="E32" s="1991"/>
      <c r="F32" s="1991"/>
      <c r="G32" s="1991"/>
      <c r="H32" s="1991"/>
      <c r="I32" s="1991"/>
      <c r="J32" s="1991"/>
      <c r="K32" s="1991"/>
      <c r="L32" s="1991"/>
      <c r="M32" s="1991"/>
      <c r="N32" s="1991"/>
      <c r="O32" s="1991"/>
      <c r="P32" s="1991"/>
      <c r="Q32" s="12"/>
    </row>
    <row r="33" spans="1:17" s="11" customFormat="1" ht="12" customHeight="1" x14ac:dyDescent="0.2">
      <c r="A33" s="12"/>
      <c r="B33" s="12"/>
      <c r="C33" s="12"/>
      <c r="D33" s="12"/>
      <c r="E33" s="12"/>
      <c r="F33" s="12"/>
      <c r="G33" s="12"/>
      <c r="H33" s="12"/>
      <c r="I33" s="12"/>
      <c r="J33" s="12"/>
      <c r="K33" s="12"/>
      <c r="L33" s="12"/>
      <c r="M33" s="12"/>
      <c r="N33" s="12"/>
      <c r="O33" s="12"/>
      <c r="P33" s="12"/>
      <c r="Q33" s="12"/>
    </row>
    <row r="34" spans="1:17" s="585" customFormat="1" x14ac:dyDescent="0.25">
      <c r="A34" s="584"/>
      <c r="B34" s="1107" t="s">
        <v>2511</v>
      </c>
      <c r="C34" s="240"/>
      <c r="D34" s="240"/>
      <c r="E34" s="240"/>
      <c r="F34" s="240"/>
      <c r="G34" s="240"/>
      <c r="H34" s="240"/>
      <c r="I34" s="240"/>
      <c r="J34" s="240"/>
      <c r="K34" s="240"/>
      <c r="L34" s="240"/>
      <c r="M34" s="240"/>
      <c r="N34" s="240"/>
      <c r="O34" s="240"/>
      <c r="P34" s="240"/>
      <c r="Q34" s="584"/>
    </row>
    <row r="35" spans="1:17" s="11" customFormat="1" ht="28.5" customHeight="1" x14ac:dyDescent="0.2">
      <c r="A35" s="12"/>
      <c r="B35" s="1991" t="s">
        <v>2516</v>
      </c>
      <c r="C35" s="1991"/>
      <c r="D35" s="1991"/>
      <c r="E35" s="1991"/>
      <c r="F35" s="1991"/>
      <c r="G35" s="1991"/>
      <c r="H35" s="1991"/>
      <c r="I35" s="1991"/>
      <c r="J35" s="1991"/>
      <c r="K35" s="1991"/>
      <c r="L35" s="1991"/>
      <c r="M35" s="1991"/>
      <c r="N35" s="1991"/>
      <c r="O35" s="1991"/>
      <c r="P35" s="1991"/>
      <c r="Q35" s="12"/>
    </row>
    <row r="36" spans="1:17" s="11" customFormat="1" ht="12" customHeight="1" x14ac:dyDescent="0.2">
      <c r="A36" s="12"/>
      <c r="B36" s="241"/>
      <c r="C36" s="12"/>
      <c r="D36" s="12"/>
      <c r="E36" s="12"/>
      <c r="F36" s="12"/>
      <c r="G36" s="12"/>
      <c r="H36" s="12"/>
      <c r="I36" s="12"/>
      <c r="J36" s="12"/>
      <c r="K36" s="12"/>
      <c r="L36" s="12"/>
      <c r="M36" s="12"/>
      <c r="N36" s="12"/>
      <c r="O36" s="12"/>
      <c r="P36" s="12"/>
      <c r="Q36" s="12"/>
    </row>
    <row r="37" spans="1:17" s="11" customFormat="1" x14ac:dyDescent="0.2">
      <c r="A37" s="12"/>
      <c r="B37" s="1107" t="s">
        <v>2029</v>
      </c>
      <c r="C37" s="12"/>
      <c r="D37" s="12"/>
      <c r="E37" s="12"/>
      <c r="F37" s="12"/>
      <c r="G37" s="12"/>
      <c r="H37" s="12"/>
      <c r="I37" s="12"/>
      <c r="J37" s="12"/>
      <c r="K37" s="12"/>
      <c r="L37" s="12"/>
      <c r="M37" s="12"/>
      <c r="N37" s="12"/>
      <c r="O37" s="12"/>
      <c r="P37" s="12"/>
      <c r="Q37" s="12"/>
    </row>
    <row r="38" spans="1:17" s="11" customFormat="1" ht="30" customHeight="1" x14ac:dyDescent="0.2">
      <c r="A38" s="12"/>
      <c r="B38" s="1991" t="s">
        <v>2030</v>
      </c>
      <c r="C38" s="1991"/>
      <c r="D38" s="1991"/>
      <c r="E38" s="1991"/>
      <c r="F38" s="1991"/>
      <c r="G38" s="1991"/>
      <c r="H38" s="1991"/>
      <c r="I38" s="1991"/>
      <c r="J38" s="1991"/>
      <c r="K38" s="1991"/>
      <c r="L38" s="1991"/>
      <c r="M38" s="1991"/>
      <c r="N38" s="1991"/>
      <c r="O38" s="1991"/>
      <c r="P38" s="1991"/>
      <c r="Q38" s="12"/>
    </row>
    <row r="39" spans="1:17" s="11" customFormat="1" ht="12" customHeight="1" x14ac:dyDescent="0.2">
      <c r="A39" s="12"/>
      <c r="B39" s="12"/>
      <c r="C39" s="12"/>
      <c r="D39" s="12"/>
      <c r="E39" s="12"/>
      <c r="F39" s="12"/>
      <c r="G39" s="12"/>
      <c r="H39" s="12"/>
      <c r="I39" s="12"/>
      <c r="J39" s="12"/>
      <c r="K39" s="12"/>
      <c r="L39" s="12"/>
      <c r="M39" s="12"/>
      <c r="N39" s="12"/>
      <c r="O39" s="12"/>
      <c r="P39" s="12"/>
      <c r="Q39" s="12"/>
    </row>
    <row r="40" spans="1:17" s="11" customFormat="1" ht="21" customHeight="1" x14ac:dyDescent="0.2">
      <c r="A40" s="1986" t="s">
        <v>2512</v>
      </c>
      <c r="B40" s="1986"/>
      <c r="C40" s="1986"/>
      <c r="D40" s="1986"/>
      <c r="E40" s="1986"/>
      <c r="F40" s="1986"/>
      <c r="G40" s="1986"/>
      <c r="H40" s="1986"/>
      <c r="I40" s="1986"/>
      <c r="J40" s="1986"/>
      <c r="K40" s="1986"/>
      <c r="L40" s="1986"/>
      <c r="M40" s="1986"/>
      <c r="N40" s="1986"/>
      <c r="O40" s="1986"/>
      <c r="P40" s="1986"/>
      <c r="Q40" s="1986"/>
    </row>
    <row r="41" spans="1:17" s="11" customFormat="1" ht="15" customHeight="1" x14ac:dyDescent="0.2">
      <c r="A41" s="12"/>
      <c r="B41" s="12"/>
      <c r="C41" s="12"/>
      <c r="D41" s="12"/>
      <c r="E41" s="12"/>
      <c r="F41" s="12"/>
      <c r="G41" s="12"/>
      <c r="H41" s="12"/>
      <c r="I41" s="12"/>
      <c r="J41" s="12"/>
      <c r="K41" s="12"/>
      <c r="L41" s="12"/>
      <c r="M41" s="12"/>
      <c r="N41" s="12"/>
      <c r="O41" s="12"/>
      <c r="P41" s="12"/>
      <c r="Q41" s="12"/>
    </row>
    <row r="42" spans="1:17" s="11" customFormat="1" x14ac:dyDescent="0.2">
      <c r="A42" s="12"/>
      <c r="B42" s="1107" t="s">
        <v>1998</v>
      </c>
      <c r="C42" s="12"/>
      <c r="D42" s="12"/>
      <c r="E42" s="12"/>
      <c r="F42" s="12"/>
      <c r="G42" s="12"/>
      <c r="H42" s="12"/>
      <c r="I42" s="12"/>
      <c r="J42" s="12"/>
      <c r="K42" s="12"/>
      <c r="L42" s="12"/>
      <c r="M42" s="12"/>
      <c r="N42" s="12"/>
      <c r="O42" s="12"/>
      <c r="P42" s="12"/>
      <c r="Q42" s="12"/>
    </row>
    <row r="43" spans="1:17" s="585" customFormat="1" ht="14.25" x14ac:dyDescent="0.25">
      <c r="A43" s="584"/>
      <c r="B43" s="584" t="s">
        <v>2514</v>
      </c>
      <c r="C43" s="240"/>
      <c r="D43" s="240"/>
      <c r="E43" s="240"/>
      <c r="F43" s="240"/>
      <c r="G43" s="240"/>
      <c r="H43" s="240"/>
      <c r="I43" s="240"/>
      <c r="J43" s="240"/>
      <c r="K43" s="240"/>
      <c r="L43" s="240"/>
      <c r="M43" s="240"/>
      <c r="N43" s="240"/>
      <c r="O43" s="240"/>
      <c r="P43" s="240"/>
      <c r="Q43" s="584"/>
    </row>
    <row r="44" spans="1:17" s="585" customFormat="1" ht="14.25" x14ac:dyDescent="0.25">
      <c r="A44" s="584"/>
      <c r="B44" s="584" t="s">
        <v>1850</v>
      </c>
      <c r="C44" s="240"/>
      <c r="D44" s="240"/>
      <c r="E44" s="240"/>
      <c r="F44" s="240"/>
      <c r="G44" s="240"/>
      <c r="H44" s="240"/>
      <c r="I44" s="240"/>
      <c r="J44" s="240"/>
      <c r="K44" s="240"/>
      <c r="L44" s="240"/>
      <c r="M44" s="240"/>
      <c r="N44" s="240"/>
      <c r="O44" s="240"/>
      <c r="P44" s="240"/>
      <c r="Q44" s="584"/>
    </row>
    <row r="45" spans="1:17" s="585" customFormat="1" ht="12" customHeight="1" x14ac:dyDescent="0.25">
      <c r="A45" s="584"/>
      <c r="B45" s="584"/>
      <c r="C45" s="240"/>
      <c r="D45" s="240"/>
      <c r="E45" s="240"/>
      <c r="F45" s="240"/>
      <c r="G45" s="240"/>
      <c r="H45" s="240"/>
      <c r="I45" s="240"/>
      <c r="J45" s="240"/>
      <c r="K45" s="240"/>
      <c r="L45" s="240"/>
      <c r="M45" s="240"/>
      <c r="N45" s="240"/>
      <c r="O45" s="240"/>
      <c r="P45" s="240"/>
      <c r="Q45" s="584"/>
    </row>
    <row r="46" spans="1:17" s="585" customFormat="1" x14ac:dyDescent="0.25">
      <c r="A46" s="584"/>
      <c r="B46" s="1107" t="s">
        <v>2513</v>
      </c>
      <c r="C46" s="240"/>
      <c r="D46" s="240"/>
      <c r="E46" s="240"/>
      <c r="F46" s="240"/>
      <c r="G46" s="240"/>
      <c r="H46" s="240"/>
      <c r="I46" s="240"/>
      <c r="J46" s="584"/>
      <c r="K46" s="240"/>
      <c r="L46" s="240"/>
      <c r="M46" s="240"/>
      <c r="N46" s="240"/>
      <c r="O46" s="240"/>
      <c r="P46" s="240"/>
      <c r="Q46" s="584"/>
    </row>
    <row r="47" spans="1:17" s="11" customFormat="1" ht="29.25" customHeight="1" x14ac:dyDescent="0.2">
      <c r="A47" s="12"/>
      <c r="B47" s="1991" t="s">
        <v>2150</v>
      </c>
      <c r="C47" s="1991"/>
      <c r="D47" s="1991"/>
      <c r="E47" s="1991"/>
      <c r="F47" s="1991"/>
      <c r="G47" s="1991"/>
      <c r="H47" s="1991"/>
      <c r="I47" s="1991"/>
      <c r="J47" s="1991"/>
      <c r="K47" s="1991"/>
      <c r="L47" s="1991"/>
      <c r="M47" s="1991"/>
      <c r="N47" s="1991"/>
      <c r="O47" s="1991"/>
      <c r="P47" s="1991"/>
      <c r="Q47" s="12"/>
    </row>
    <row r="48" spans="1:17" s="11" customFormat="1" ht="12" customHeight="1" x14ac:dyDescent="0.2">
      <c r="A48" s="12"/>
      <c r="B48" s="241"/>
      <c r="C48" s="12"/>
      <c r="D48" s="12"/>
      <c r="E48" s="12"/>
      <c r="F48" s="12"/>
      <c r="G48" s="12"/>
      <c r="H48" s="12"/>
      <c r="I48" s="12"/>
      <c r="J48" s="12"/>
      <c r="K48" s="12"/>
      <c r="L48" s="12"/>
      <c r="M48" s="12"/>
      <c r="N48" s="12"/>
      <c r="O48" s="12"/>
      <c r="P48" s="12"/>
      <c r="Q48" s="12"/>
    </row>
    <row r="49" spans="1:17" s="585" customFormat="1" x14ac:dyDescent="0.25">
      <c r="A49" s="584"/>
      <c r="B49" s="1107" t="s">
        <v>2517</v>
      </c>
      <c r="C49" s="240"/>
      <c r="D49" s="240"/>
      <c r="E49" s="240"/>
      <c r="F49" s="240"/>
      <c r="G49" s="240"/>
      <c r="H49" s="240"/>
      <c r="I49" s="240"/>
      <c r="J49" s="240"/>
      <c r="K49" s="240"/>
      <c r="L49" s="240"/>
      <c r="M49" s="240"/>
      <c r="N49" s="240"/>
      <c r="O49" s="240"/>
      <c r="P49" s="240"/>
      <c r="Q49" s="584"/>
    </row>
    <row r="50" spans="1:17" s="11" customFormat="1" ht="19.5" customHeight="1" x14ac:dyDescent="0.2">
      <c r="A50" s="12"/>
      <c r="B50" s="584" t="s">
        <v>2515</v>
      </c>
      <c r="C50" s="12"/>
      <c r="D50" s="12"/>
      <c r="E50" s="12"/>
      <c r="F50" s="12"/>
      <c r="G50" s="12"/>
      <c r="H50" s="12"/>
      <c r="I50" s="12"/>
      <c r="J50" s="12"/>
      <c r="K50" s="12"/>
      <c r="L50" s="12"/>
      <c r="M50" s="12"/>
      <c r="N50" s="12"/>
      <c r="O50" s="12"/>
      <c r="P50" s="12"/>
      <c r="Q50" s="12"/>
    </row>
    <row r="51" spans="1:17" s="11" customFormat="1" ht="12" customHeight="1" x14ac:dyDescent="0.2">
      <c r="A51" s="12"/>
      <c r="B51" s="241"/>
      <c r="C51" s="12"/>
      <c r="D51" s="12"/>
      <c r="E51" s="12"/>
      <c r="F51" s="12"/>
      <c r="G51" s="12"/>
      <c r="H51" s="12"/>
      <c r="I51" s="12"/>
      <c r="J51" s="12"/>
      <c r="K51" s="12"/>
      <c r="L51" s="12"/>
      <c r="M51" s="12"/>
      <c r="N51" s="12"/>
      <c r="O51" s="12"/>
      <c r="P51" s="12"/>
      <c r="Q51" s="12"/>
    </row>
    <row r="52" spans="1:17" s="585" customFormat="1" x14ac:dyDescent="0.25">
      <c r="A52" s="584"/>
      <c r="B52" s="1107" t="s">
        <v>2518</v>
      </c>
      <c r="C52" s="240"/>
      <c r="D52" s="240"/>
      <c r="E52" s="240"/>
      <c r="F52" s="240"/>
      <c r="G52" s="240"/>
      <c r="H52" s="240"/>
      <c r="I52" s="240"/>
      <c r="J52" s="240"/>
      <c r="K52" s="240"/>
      <c r="L52" s="240"/>
      <c r="M52" s="240"/>
      <c r="N52" s="240"/>
      <c r="O52" s="240"/>
      <c r="P52" s="240"/>
      <c r="Q52" s="584"/>
    </row>
    <row r="53" spans="1:17" s="11" customFormat="1" ht="19.5" customHeight="1" x14ac:dyDescent="0.2">
      <c r="A53" s="12"/>
      <c r="B53" s="584" t="s">
        <v>2519</v>
      </c>
      <c r="C53" s="12"/>
      <c r="D53" s="12"/>
      <c r="E53" s="12"/>
      <c r="F53" s="12"/>
      <c r="G53" s="12"/>
      <c r="H53" s="12"/>
      <c r="I53" s="12"/>
      <c r="J53" s="12"/>
      <c r="K53" s="12"/>
      <c r="L53" s="12"/>
      <c r="M53" s="12"/>
      <c r="N53" s="12"/>
      <c r="O53" s="12"/>
      <c r="P53" s="12"/>
      <c r="Q53" s="12"/>
    </row>
    <row r="54" spans="1:17" s="11" customFormat="1" ht="12" customHeight="1" x14ac:dyDescent="0.2">
      <c r="A54" s="12"/>
      <c r="B54" s="241"/>
      <c r="C54" s="12"/>
      <c r="D54" s="12"/>
      <c r="E54" s="12"/>
      <c r="F54" s="12"/>
      <c r="G54" s="12"/>
      <c r="H54" s="12"/>
      <c r="I54" s="12"/>
      <c r="J54" s="12"/>
      <c r="K54" s="12"/>
      <c r="L54" s="12"/>
      <c r="M54" s="12"/>
      <c r="N54" s="12"/>
      <c r="O54" s="12"/>
      <c r="P54" s="12"/>
      <c r="Q54" s="12"/>
    </row>
    <row r="55" spans="1:17" s="11" customFormat="1" x14ac:dyDescent="0.2">
      <c r="A55" s="12"/>
      <c r="B55" s="1107" t="s">
        <v>2031</v>
      </c>
      <c r="C55" s="12"/>
      <c r="D55" s="12"/>
      <c r="E55" s="12"/>
      <c r="F55" s="12"/>
      <c r="G55" s="12"/>
      <c r="H55" s="12"/>
      <c r="I55" s="12"/>
      <c r="J55" s="12"/>
      <c r="K55" s="12"/>
      <c r="L55" s="12"/>
      <c r="M55" s="12"/>
      <c r="N55" s="12"/>
      <c r="O55" s="12"/>
      <c r="P55" s="12"/>
      <c r="Q55" s="12"/>
    </row>
    <row r="56" spans="1:17" s="11" customFormat="1" ht="20.25" customHeight="1" x14ac:dyDescent="0.2">
      <c r="A56" s="12"/>
      <c r="B56" s="584" t="s">
        <v>2032</v>
      </c>
      <c r="C56" s="12"/>
      <c r="D56" s="12"/>
      <c r="E56" s="12"/>
      <c r="F56" s="12"/>
      <c r="G56" s="12"/>
      <c r="H56" s="12"/>
      <c r="I56" s="12"/>
      <c r="J56" s="12"/>
      <c r="K56" s="12"/>
      <c r="L56" s="12"/>
      <c r="M56" s="12"/>
      <c r="N56" s="12"/>
      <c r="O56" s="12"/>
      <c r="P56" s="12"/>
      <c r="Q56" s="12"/>
    </row>
    <row r="57" spans="1:17" s="11" customFormat="1" ht="12" customHeight="1" x14ac:dyDescent="0.2">
      <c r="A57" s="12"/>
      <c r="B57" s="241"/>
      <c r="C57" s="12"/>
      <c r="D57" s="12"/>
      <c r="E57" s="12"/>
      <c r="F57" s="12"/>
      <c r="G57" s="12"/>
      <c r="H57" s="12"/>
      <c r="I57" s="12"/>
      <c r="J57" s="12"/>
      <c r="K57" s="12"/>
      <c r="L57" s="12"/>
      <c r="M57" s="12"/>
      <c r="N57" s="12"/>
      <c r="O57" s="12"/>
      <c r="P57" s="12"/>
      <c r="Q57" s="12"/>
    </row>
    <row r="58" spans="1:17" s="11" customFormat="1" x14ac:dyDescent="0.2">
      <c r="A58" s="12"/>
      <c r="B58" s="1107" t="s">
        <v>1999</v>
      </c>
      <c r="C58" s="584"/>
      <c r="D58" s="584"/>
      <c r="E58" s="584"/>
      <c r="F58" s="584"/>
      <c r="G58" s="584"/>
      <c r="H58" s="584"/>
      <c r="I58" s="584"/>
      <c r="J58" s="584"/>
      <c r="K58" s="584"/>
      <c r="L58" s="584"/>
      <c r="M58" s="584"/>
      <c r="N58" s="584"/>
      <c r="O58" s="584"/>
      <c r="P58" s="584"/>
      <c r="Q58" s="12"/>
    </row>
    <row r="59" spans="1:17" s="11" customFormat="1" ht="14.25" x14ac:dyDescent="0.2">
      <c r="A59" s="12"/>
      <c r="B59" s="241" t="s">
        <v>2520</v>
      </c>
      <c r="C59" s="12"/>
      <c r="D59" s="12"/>
      <c r="E59" s="12"/>
      <c r="F59" s="12"/>
      <c r="G59" s="12"/>
      <c r="H59" s="12"/>
      <c r="I59" s="12"/>
      <c r="J59" s="12"/>
      <c r="K59" s="12"/>
      <c r="L59" s="12"/>
      <c r="M59" s="12"/>
      <c r="N59" s="12"/>
      <c r="O59" s="12"/>
      <c r="P59" s="12"/>
      <c r="Q59" s="12"/>
    </row>
    <row r="60" spans="1:17" s="11" customFormat="1" ht="12" customHeight="1" x14ac:dyDescent="0.2">
      <c r="A60" s="12"/>
      <c r="B60" s="241"/>
      <c r="C60" s="12"/>
      <c r="D60" s="12"/>
      <c r="E60" s="12"/>
      <c r="F60" s="12"/>
      <c r="G60" s="12"/>
      <c r="H60" s="12"/>
      <c r="I60" s="12"/>
      <c r="J60" s="12"/>
      <c r="K60" s="12"/>
      <c r="L60" s="12"/>
      <c r="M60" s="12"/>
      <c r="N60" s="12"/>
      <c r="O60" s="12"/>
      <c r="P60" s="12"/>
      <c r="Q60" s="12"/>
    </row>
    <row r="61" spans="1:17" s="585" customFormat="1" x14ac:dyDescent="0.25">
      <c r="A61" s="584"/>
      <c r="B61" s="1107" t="s">
        <v>2000</v>
      </c>
      <c r="C61" s="240"/>
      <c r="D61" s="240"/>
      <c r="E61" s="240"/>
      <c r="F61" s="240"/>
      <c r="G61" s="240"/>
      <c r="H61" s="240"/>
      <c r="I61" s="240"/>
      <c r="J61" s="240"/>
      <c r="K61" s="240"/>
      <c r="L61" s="240"/>
      <c r="M61" s="240"/>
      <c r="N61" s="240"/>
      <c r="O61" s="240"/>
      <c r="P61" s="240"/>
      <c r="Q61" s="584"/>
    </row>
    <row r="62" spans="1:17" s="11" customFormat="1" ht="14.25" x14ac:dyDescent="0.2">
      <c r="A62" s="12"/>
      <c r="B62" s="584" t="s">
        <v>2521</v>
      </c>
      <c r="C62" s="12"/>
      <c r="D62" s="12"/>
      <c r="E62" s="12"/>
      <c r="F62" s="12"/>
      <c r="G62" s="12"/>
      <c r="H62" s="12"/>
      <c r="I62" s="12"/>
      <c r="J62" s="12"/>
      <c r="K62" s="12"/>
      <c r="L62" s="12"/>
      <c r="M62" s="12"/>
      <c r="N62" s="12"/>
      <c r="O62" s="12"/>
      <c r="P62" s="12"/>
      <c r="Q62" s="12"/>
    </row>
    <row r="63" spans="1:17" s="585" customFormat="1" ht="14.25" x14ac:dyDescent="0.25">
      <c r="A63" s="584"/>
      <c r="B63" s="584"/>
      <c r="C63" s="240"/>
      <c r="D63" s="240"/>
      <c r="E63" s="240"/>
      <c r="F63" s="240"/>
      <c r="G63" s="240"/>
      <c r="H63" s="240"/>
      <c r="I63" s="240"/>
      <c r="J63" s="240"/>
      <c r="K63" s="240"/>
      <c r="L63" s="240"/>
      <c r="M63" s="240"/>
      <c r="N63" s="240"/>
      <c r="O63" s="240"/>
      <c r="P63" s="240"/>
      <c r="Q63" s="584"/>
    </row>
    <row r="64" spans="1:17" s="585" customFormat="1" x14ac:dyDescent="0.25">
      <c r="A64" s="584"/>
      <c r="B64" s="1107" t="s">
        <v>2522</v>
      </c>
      <c r="C64" s="240"/>
      <c r="D64" s="240"/>
      <c r="E64" s="240"/>
      <c r="F64" s="240"/>
      <c r="G64" s="240"/>
      <c r="H64" s="240"/>
      <c r="I64" s="240"/>
      <c r="J64" s="240"/>
      <c r="K64" s="240"/>
      <c r="L64" s="240"/>
      <c r="M64" s="240"/>
      <c r="N64" s="240"/>
      <c r="O64" s="240"/>
      <c r="P64" s="240"/>
      <c r="Q64" s="584"/>
    </row>
    <row r="65" spans="1:17" s="11" customFormat="1" ht="14.25" x14ac:dyDescent="0.2">
      <c r="A65" s="12"/>
      <c r="B65" s="584" t="s">
        <v>2523</v>
      </c>
      <c r="C65" s="12"/>
      <c r="D65" s="12"/>
      <c r="E65" s="12"/>
      <c r="F65" s="12"/>
      <c r="G65" s="12"/>
      <c r="H65" s="12"/>
      <c r="I65" s="12"/>
      <c r="J65" s="12"/>
      <c r="K65" s="12"/>
      <c r="L65" s="12"/>
      <c r="M65" s="12"/>
      <c r="N65" s="12"/>
      <c r="O65" s="12"/>
      <c r="P65" s="12"/>
      <c r="Q65" s="12"/>
    </row>
    <row r="66" spans="1:17" s="585" customFormat="1" ht="14.25" x14ac:dyDescent="0.25">
      <c r="A66" s="584"/>
      <c r="B66" s="584"/>
      <c r="C66" s="240"/>
      <c r="D66" s="240"/>
      <c r="E66" s="240"/>
      <c r="F66" s="240"/>
      <c r="G66" s="240"/>
      <c r="H66" s="240"/>
      <c r="I66" s="240"/>
      <c r="J66" s="240"/>
      <c r="K66" s="240"/>
      <c r="L66" s="240"/>
      <c r="M66" s="240"/>
      <c r="N66" s="240"/>
      <c r="O66" s="240"/>
      <c r="P66" s="240"/>
      <c r="Q66" s="584"/>
    </row>
    <row r="67" spans="1:17" s="11" customFormat="1" ht="15.75" customHeight="1" x14ac:dyDescent="0.2">
      <c r="A67" s="12"/>
      <c r="B67" s="584" t="s">
        <v>1853</v>
      </c>
      <c r="C67" s="12"/>
      <c r="D67" s="12"/>
      <c r="E67" s="12"/>
      <c r="F67" s="12"/>
      <c r="G67" s="12"/>
      <c r="H67" s="12"/>
      <c r="I67" s="12"/>
      <c r="J67" s="12"/>
      <c r="K67" s="12"/>
      <c r="L67" s="12"/>
      <c r="M67" s="12"/>
      <c r="N67" s="12"/>
      <c r="O67" s="12"/>
      <c r="P67" s="12"/>
      <c r="Q67" s="12"/>
    </row>
    <row r="68" spans="1:17" s="11" customFormat="1" ht="21" customHeight="1" x14ac:dyDescent="0.2">
      <c r="A68" s="12"/>
      <c r="B68" s="1987" t="s">
        <v>2524</v>
      </c>
      <c r="C68" s="1988"/>
      <c r="D68" s="1988"/>
      <c r="E68" s="1988"/>
      <c r="F68" s="1988"/>
      <c r="G68" s="1988"/>
      <c r="H68" s="1988"/>
      <c r="I68" s="1988"/>
      <c r="J68" s="1988"/>
      <c r="K68" s="1988"/>
      <c r="L68" s="1988"/>
      <c r="M68" s="1988"/>
      <c r="N68" s="1988"/>
      <c r="O68" s="1988"/>
      <c r="P68" s="1989"/>
      <c r="Q68" s="12"/>
    </row>
    <row r="69" spans="1:17" s="11" customFormat="1" ht="23.25" customHeight="1" x14ac:dyDescent="0.2">
      <c r="A69" s="12"/>
      <c r="B69" s="12"/>
      <c r="C69" s="12"/>
      <c r="D69" s="12"/>
      <c r="E69" s="12"/>
      <c r="F69" s="12"/>
      <c r="G69" s="12"/>
      <c r="H69" s="12"/>
      <c r="I69" s="12"/>
      <c r="J69" s="12"/>
      <c r="K69" s="12"/>
      <c r="L69" s="12"/>
      <c r="M69" s="12"/>
      <c r="N69" s="12"/>
      <c r="O69" s="12"/>
      <c r="P69" s="12"/>
      <c r="Q69" s="12"/>
    </row>
    <row r="70" spans="1:17" s="585" customFormat="1" ht="14.25" hidden="1" x14ac:dyDescent="0.25">
      <c r="A70" s="584"/>
      <c r="B70" s="240"/>
      <c r="C70" s="240"/>
      <c r="D70" s="240"/>
      <c r="E70" s="240"/>
      <c r="F70" s="240"/>
      <c r="G70" s="240"/>
      <c r="H70" s="240"/>
      <c r="I70" s="240"/>
      <c r="J70" s="240"/>
      <c r="K70" s="240"/>
      <c r="L70" s="240"/>
      <c r="M70" s="240"/>
      <c r="N70" s="240"/>
      <c r="O70" s="240"/>
      <c r="P70" s="240"/>
      <c r="Q70" s="584"/>
    </row>
    <row r="71" spans="1:17" s="11" customFormat="1" ht="14.25" hidden="1" x14ac:dyDescent="0.2">
      <c r="A71" s="12"/>
      <c r="B71" s="12"/>
      <c r="C71" s="12"/>
      <c r="D71" s="12"/>
      <c r="E71" s="12"/>
      <c r="F71" s="12"/>
      <c r="G71" s="12"/>
      <c r="H71" s="12"/>
      <c r="I71" s="12"/>
      <c r="J71" s="12"/>
      <c r="K71" s="12"/>
      <c r="L71" s="12"/>
      <c r="M71" s="12"/>
      <c r="N71" s="12"/>
      <c r="O71" s="12"/>
      <c r="P71" s="12"/>
      <c r="Q71" s="12"/>
    </row>
    <row r="72" spans="1:17" s="11" customFormat="1" ht="14.25" hidden="1" x14ac:dyDescent="0.2">
      <c r="A72" s="12"/>
      <c r="B72" s="584"/>
      <c r="C72" s="584"/>
      <c r="D72" s="584"/>
      <c r="E72" s="584"/>
      <c r="F72" s="584"/>
      <c r="G72" s="584"/>
      <c r="H72" s="584"/>
      <c r="I72" s="584"/>
      <c r="J72" s="584"/>
      <c r="K72" s="584"/>
      <c r="L72" s="584"/>
      <c r="M72" s="584"/>
      <c r="N72" s="584"/>
      <c r="O72" s="584"/>
      <c r="P72" s="584"/>
      <c r="Q72" s="12"/>
    </row>
    <row r="73" spans="1:17" s="11" customFormat="1" ht="14.25" hidden="1" x14ac:dyDescent="0.2">
      <c r="A73" s="12"/>
      <c r="B73" s="12"/>
      <c r="C73" s="12"/>
      <c r="D73" s="12"/>
      <c r="E73" s="12"/>
      <c r="F73" s="12"/>
      <c r="G73" s="12"/>
      <c r="H73" s="12"/>
      <c r="I73" s="12"/>
      <c r="J73" s="12"/>
      <c r="K73" s="12"/>
      <c r="L73" s="12"/>
      <c r="M73" s="12"/>
      <c r="N73" s="12"/>
      <c r="O73" s="12"/>
      <c r="P73" s="12"/>
      <c r="Q73" s="12"/>
    </row>
    <row r="74" spans="1:17" s="11" customFormat="1" ht="14.25" hidden="1" x14ac:dyDescent="0.2">
      <c r="A74" s="12"/>
      <c r="B74" s="584"/>
      <c r="C74" s="584"/>
      <c r="D74" s="584"/>
      <c r="E74" s="584"/>
      <c r="F74" s="584"/>
      <c r="G74" s="584"/>
      <c r="H74" s="584"/>
      <c r="I74" s="584"/>
      <c r="J74" s="584"/>
      <c r="K74" s="584"/>
      <c r="L74" s="584"/>
      <c r="M74" s="584"/>
      <c r="N74" s="584"/>
      <c r="O74" s="584"/>
      <c r="P74" s="584"/>
      <c r="Q74" s="12"/>
    </row>
    <row r="75" spans="1:17" s="11" customFormat="1" ht="14.25" hidden="1" x14ac:dyDescent="0.2">
      <c r="A75" s="12"/>
      <c r="B75" s="12"/>
      <c r="C75" s="12"/>
      <c r="D75" s="12"/>
      <c r="E75" s="12"/>
      <c r="F75" s="12"/>
      <c r="G75" s="12"/>
      <c r="H75" s="12"/>
      <c r="I75" s="12"/>
      <c r="J75" s="12"/>
      <c r="K75" s="12"/>
      <c r="L75" s="12"/>
      <c r="M75" s="12"/>
      <c r="N75" s="12"/>
      <c r="O75" s="12"/>
      <c r="P75" s="12"/>
      <c r="Q75" s="12"/>
    </row>
    <row r="76" spans="1:17" s="11" customFormat="1" ht="14.25" hidden="1" x14ac:dyDescent="0.2">
      <c r="A76" s="12"/>
      <c r="B76" s="584"/>
      <c r="C76" s="584"/>
      <c r="D76" s="584"/>
      <c r="E76" s="584"/>
      <c r="F76" s="584"/>
      <c r="G76" s="584"/>
      <c r="H76" s="584"/>
      <c r="I76" s="584"/>
      <c r="J76" s="584"/>
      <c r="K76" s="584"/>
      <c r="L76" s="584"/>
      <c r="M76" s="584"/>
      <c r="N76" s="584"/>
      <c r="O76" s="584"/>
      <c r="P76" s="584"/>
      <c r="Q76" s="12"/>
    </row>
    <row r="77" spans="1:17" s="11" customFormat="1" ht="14.25" hidden="1" x14ac:dyDescent="0.2">
      <c r="A77" s="12"/>
      <c r="B77" s="12"/>
      <c r="C77" s="12"/>
      <c r="D77" s="12"/>
      <c r="E77" s="12"/>
      <c r="F77" s="12"/>
      <c r="G77" s="12"/>
      <c r="H77" s="12"/>
      <c r="I77" s="12"/>
      <c r="J77" s="12"/>
      <c r="K77" s="12"/>
      <c r="L77" s="12"/>
      <c r="M77" s="12"/>
      <c r="N77" s="12"/>
      <c r="O77" s="12"/>
      <c r="P77" s="12"/>
      <c r="Q77" s="12"/>
    </row>
    <row r="78" spans="1:17" s="11" customFormat="1" ht="14.25" hidden="1" x14ac:dyDescent="0.2">
      <c r="A78" s="12"/>
      <c r="B78" s="12"/>
      <c r="C78" s="12"/>
      <c r="D78" s="12"/>
      <c r="E78" s="12"/>
      <c r="F78" s="12"/>
      <c r="G78" s="12"/>
      <c r="H78" s="12"/>
      <c r="I78" s="12"/>
      <c r="J78" s="12"/>
      <c r="K78" s="12"/>
      <c r="L78" s="12"/>
      <c r="M78" s="12"/>
      <c r="N78" s="12"/>
      <c r="O78" s="12"/>
      <c r="P78" s="12"/>
      <c r="Q78" s="12"/>
    </row>
    <row r="79" spans="1:17" s="11" customFormat="1" ht="14.25" hidden="1" x14ac:dyDescent="0.2">
      <c r="A79" s="12"/>
      <c r="B79" s="240"/>
      <c r="C79" s="240"/>
      <c r="D79" s="240"/>
      <c r="E79" s="240"/>
      <c r="F79" s="240"/>
      <c r="G79" s="240"/>
      <c r="H79" s="240"/>
      <c r="I79" s="240"/>
      <c r="J79" s="240"/>
      <c r="K79" s="240"/>
      <c r="L79" s="240"/>
      <c r="M79" s="240"/>
      <c r="N79" s="240"/>
      <c r="O79" s="240"/>
      <c r="P79" s="240"/>
      <c r="Q79" s="12"/>
    </row>
    <row r="80" spans="1:17" s="585" customFormat="1" ht="14.25" hidden="1" x14ac:dyDescent="0.25">
      <c r="A80" s="584"/>
      <c r="B80" s="240"/>
      <c r="C80" s="240"/>
      <c r="D80" s="240"/>
      <c r="E80" s="240"/>
      <c r="F80" s="240"/>
      <c r="G80" s="240"/>
      <c r="H80" s="240"/>
      <c r="I80" s="240"/>
      <c r="J80" s="240"/>
      <c r="K80" s="240"/>
      <c r="L80" s="240"/>
      <c r="M80" s="240"/>
      <c r="N80" s="240"/>
      <c r="O80" s="240"/>
      <c r="P80" s="240"/>
      <c r="Q80" s="584"/>
    </row>
    <row r="81" spans="1:17" s="11" customFormat="1" ht="14.25" hidden="1" x14ac:dyDescent="0.2">
      <c r="A81" s="12"/>
      <c r="B81" s="240"/>
      <c r="C81" s="240"/>
      <c r="D81" s="240"/>
      <c r="E81" s="240"/>
      <c r="F81" s="240"/>
      <c r="G81" s="240"/>
      <c r="H81" s="240"/>
      <c r="I81" s="240"/>
      <c r="J81" s="240"/>
      <c r="K81" s="240"/>
      <c r="L81" s="240"/>
      <c r="M81" s="240"/>
      <c r="N81" s="240"/>
      <c r="O81" s="240"/>
      <c r="P81" s="240"/>
      <c r="Q81" s="12"/>
    </row>
    <row r="82" spans="1:17" s="11" customFormat="1" ht="14.25" hidden="1" x14ac:dyDescent="0.2">
      <c r="A82" s="12"/>
      <c r="B82" s="240"/>
      <c r="C82" s="240"/>
      <c r="D82" s="240"/>
      <c r="E82" s="240"/>
      <c r="F82" s="240"/>
      <c r="G82" s="240"/>
      <c r="H82" s="240"/>
      <c r="I82" s="240"/>
      <c r="J82" s="240"/>
      <c r="K82" s="240"/>
      <c r="L82" s="240"/>
      <c r="M82" s="240"/>
      <c r="N82" s="240"/>
      <c r="O82" s="240"/>
      <c r="P82" s="240"/>
      <c r="Q82" s="12"/>
    </row>
    <row r="83" spans="1:17" s="11" customFormat="1" ht="14.25" hidden="1" x14ac:dyDescent="0.2">
      <c r="A83" s="12"/>
      <c r="B83" s="240"/>
      <c r="C83" s="240"/>
      <c r="D83" s="240"/>
      <c r="E83" s="240"/>
      <c r="F83" s="240"/>
      <c r="G83" s="240"/>
      <c r="H83" s="240"/>
      <c r="I83" s="240"/>
      <c r="J83" s="240"/>
      <c r="K83" s="240"/>
      <c r="L83" s="240"/>
      <c r="M83" s="240"/>
      <c r="N83" s="240"/>
      <c r="O83" s="240"/>
      <c r="P83" s="240"/>
      <c r="Q83" s="12"/>
    </row>
    <row r="84" spans="1:17" s="11" customFormat="1" ht="14.25" hidden="1" x14ac:dyDescent="0.2">
      <c r="A84" s="12"/>
      <c r="B84" s="240"/>
      <c r="C84" s="240"/>
      <c r="D84" s="240"/>
      <c r="E84" s="240"/>
      <c r="F84" s="240"/>
      <c r="G84" s="240"/>
      <c r="H84" s="240"/>
      <c r="I84" s="240"/>
      <c r="J84" s="240"/>
      <c r="K84" s="240"/>
      <c r="L84" s="240"/>
      <c r="M84" s="240"/>
      <c r="N84" s="240"/>
      <c r="O84" s="240"/>
      <c r="P84" s="240"/>
      <c r="Q84" s="12"/>
    </row>
    <row r="85" spans="1:17" s="11" customFormat="1" ht="14.25" hidden="1" x14ac:dyDescent="0.2">
      <c r="A85" s="12"/>
      <c r="B85" s="240"/>
      <c r="C85" s="240"/>
      <c r="D85" s="240"/>
      <c r="E85" s="240"/>
      <c r="F85" s="240"/>
      <c r="G85" s="240"/>
      <c r="H85" s="240"/>
      <c r="I85" s="240"/>
      <c r="J85" s="240"/>
      <c r="K85" s="240"/>
      <c r="L85" s="240"/>
      <c r="M85" s="240"/>
      <c r="N85" s="240"/>
      <c r="O85" s="240"/>
      <c r="P85" s="240"/>
      <c r="Q85" s="12"/>
    </row>
    <row r="86" spans="1:17" s="11" customFormat="1" ht="14.25" hidden="1" x14ac:dyDescent="0.2">
      <c r="A86" s="12"/>
      <c r="B86" s="12"/>
      <c r="C86" s="12"/>
      <c r="D86" s="12"/>
      <c r="E86" s="12"/>
      <c r="F86" s="12"/>
      <c r="G86" s="12"/>
      <c r="H86" s="12"/>
      <c r="I86" s="12"/>
      <c r="J86" s="12"/>
      <c r="K86" s="12"/>
      <c r="L86" s="12"/>
      <c r="M86" s="12"/>
      <c r="N86" s="12"/>
      <c r="O86" s="12"/>
      <c r="P86" s="12"/>
      <c r="Q86" s="12"/>
    </row>
    <row r="87" spans="1:17" s="585" customFormat="1" ht="14.25" hidden="1" x14ac:dyDescent="0.25">
      <c r="A87" s="584"/>
      <c r="B87" s="240"/>
      <c r="C87" s="240"/>
      <c r="D87" s="240"/>
      <c r="E87" s="240"/>
      <c r="F87" s="240"/>
      <c r="G87" s="240"/>
      <c r="H87" s="240"/>
      <c r="I87" s="240"/>
      <c r="J87" s="240"/>
      <c r="K87" s="240"/>
      <c r="L87" s="240"/>
      <c r="M87" s="240"/>
      <c r="N87" s="240"/>
      <c r="O87" s="240"/>
      <c r="P87" s="240"/>
      <c r="Q87" s="584"/>
    </row>
    <row r="88" spans="1:17" s="11" customFormat="1" ht="14.25" hidden="1" x14ac:dyDescent="0.2">
      <c r="A88" s="12"/>
      <c r="B88" s="584"/>
      <c r="C88" s="584"/>
      <c r="D88" s="584"/>
      <c r="E88" s="584"/>
      <c r="F88" s="584"/>
      <c r="G88" s="584"/>
      <c r="H88" s="584"/>
      <c r="I88" s="584"/>
      <c r="J88" s="584"/>
      <c r="K88" s="584"/>
      <c r="L88" s="584"/>
      <c r="M88" s="584"/>
      <c r="N88" s="584"/>
      <c r="O88" s="584"/>
      <c r="P88" s="584"/>
      <c r="Q88" s="12"/>
    </row>
    <row r="89" spans="1:17" s="585" customFormat="1" ht="27" hidden="1" customHeight="1" x14ac:dyDescent="0.25">
      <c r="A89" s="584"/>
      <c r="B89" s="240"/>
      <c r="C89" s="240"/>
      <c r="D89" s="240"/>
      <c r="E89" s="240"/>
      <c r="F89" s="240"/>
      <c r="G89" s="240"/>
      <c r="H89" s="240"/>
      <c r="I89" s="240"/>
      <c r="J89" s="240"/>
      <c r="K89" s="240"/>
      <c r="L89" s="240"/>
      <c r="M89" s="240"/>
      <c r="N89" s="240"/>
      <c r="O89" s="240"/>
      <c r="P89" s="240"/>
      <c r="Q89" s="584"/>
    </row>
    <row r="90" spans="1:17" s="11" customFormat="1" ht="12" hidden="1" customHeight="1" x14ac:dyDescent="0.2">
      <c r="A90" s="12"/>
      <c r="B90" s="584"/>
      <c r="C90" s="584"/>
      <c r="D90" s="584"/>
      <c r="E90" s="584"/>
      <c r="F90" s="584"/>
      <c r="G90" s="584"/>
      <c r="H90" s="584"/>
      <c r="I90" s="584"/>
      <c r="J90" s="584"/>
      <c r="K90" s="584"/>
      <c r="L90" s="584"/>
      <c r="M90" s="584"/>
      <c r="N90" s="584"/>
      <c r="O90" s="584"/>
      <c r="P90" s="584"/>
      <c r="Q90" s="12"/>
    </row>
    <row r="91" spans="1:17" s="11" customFormat="1" ht="14.25" hidden="1" x14ac:dyDescent="0.2">
      <c r="A91" s="12"/>
      <c r="B91" s="240"/>
      <c r="C91" s="240"/>
      <c r="D91" s="240"/>
      <c r="E91" s="240"/>
      <c r="F91" s="240"/>
      <c r="G91" s="240"/>
      <c r="H91" s="240"/>
      <c r="I91" s="240"/>
      <c r="J91" s="240"/>
      <c r="K91" s="240"/>
      <c r="L91" s="240"/>
      <c r="M91" s="240"/>
      <c r="N91" s="240"/>
      <c r="O91" s="240"/>
      <c r="P91" s="240"/>
      <c r="Q91" s="12"/>
    </row>
    <row r="92" spans="1:17" s="11" customFormat="1" ht="12" hidden="1" customHeight="1" x14ac:dyDescent="0.2">
      <c r="A92" s="12"/>
      <c r="B92" s="584"/>
      <c r="C92" s="584"/>
      <c r="D92" s="584"/>
      <c r="E92" s="584"/>
      <c r="F92" s="584"/>
      <c r="G92" s="584"/>
      <c r="H92" s="584"/>
      <c r="I92" s="584"/>
      <c r="J92" s="584"/>
      <c r="K92" s="584"/>
      <c r="L92" s="584"/>
      <c r="M92" s="584"/>
      <c r="N92" s="584"/>
      <c r="O92" s="584"/>
      <c r="P92" s="584"/>
      <c r="Q92" s="12"/>
    </row>
    <row r="93" spans="1:17" s="585" customFormat="1" ht="51" hidden="1" customHeight="1" x14ac:dyDescent="0.25">
      <c r="A93" s="584"/>
      <c r="B93" s="240"/>
      <c r="C93" s="240"/>
      <c r="D93" s="240"/>
      <c r="E93" s="240"/>
      <c r="F93" s="240"/>
      <c r="G93" s="240"/>
      <c r="H93" s="240"/>
      <c r="I93" s="240"/>
      <c r="J93" s="240"/>
      <c r="K93" s="240"/>
      <c r="L93" s="240"/>
      <c r="M93" s="240"/>
      <c r="N93" s="240"/>
      <c r="O93" s="240"/>
      <c r="P93" s="240"/>
      <c r="Q93" s="584"/>
    </row>
    <row r="94" spans="1:17" s="11" customFormat="1" ht="12" hidden="1" customHeight="1" x14ac:dyDescent="0.2">
      <c r="A94" s="12"/>
      <c r="B94" s="584"/>
      <c r="C94" s="584"/>
      <c r="D94" s="584"/>
      <c r="E94" s="584"/>
      <c r="F94" s="584"/>
      <c r="G94" s="584"/>
      <c r="H94" s="584"/>
      <c r="I94" s="584"/>
      <c r="J94" s="584"/>
      <c r="K94" s="584"/>
      <c r="L94" s="584"/>
      <c r="M94" s="584"/>
      <c r="N94" s="584"/>
      <c r="O94" s="584"/>
      <c r="P94" s="584"/>
      <c r="Q94" s="12"/>
    </row>
    <row r="95" spans="1:17" s="11" customFormat="1" ht="42" hidden="1" customHeight="1" x14ac:dyDescent="0.2">
      <c r="A95" s="12"/>
      <c r="B95" s="240"/>
      <c r="C95" s="240"/>
      <c r="D95" s="240"/>
      <c r="E95" s="240"/>
      <c r="F95" s="240"/>
      <c r="G95" s="240"/>
      <c r="H95" s="240"/>
      <c r="I95" s="240"/>
      <c r="J95" s="240"/>
      <c r="K95" s="240"/>
      <c r="L95" s="240"/>
      <c r="M95" s="240"/>
      <c r="N95" s="240"/>
      <c r="O95" s="240"/>
      <c r="P95" s="240"/>
      <c r="Q95" s="12"/>
    </row>
    <row r="96" spans="1:17" s="11" customFormat="1" ht="12" hidden="1" customHeight="1" x14ac:dyDescent="0.2">
      <c r="A96" s="12"/>
      <c r="B96" s="584"/>
      <c r="C96" s="584"/>
      <c r="D96" s="584"/>
      <c r="E96" s="584"/>
      <c r="F96" s="584"/>
      <c r="G96" s="584"/>
      <c r="H96" s="584"/>
      <c r="I96" s="584"/>
      <c r="J96" s="584"/>
      <c r="K96" s="584"/>
      <c r="L96" s="584"/>
      <c r="M96" s="584"/>
      <c r="N96" s="584"/>
      <c r="O96" s="584"/>
      <c r="P96" s="584"/>
      <c r="Q96" s="12"/>
    </row>
    <row r="97" spans="1:17" s="11" customFormat="1" ht="42" hidden="1" customHeight="1" x14ac:dyDescent="0.2">
      <c r="A97" s="12"/>
      <c r="B97" s="240"/>
      <c r="C97" s="240"/>
      <c r="D97" s="240"/>
      <c r="E97" s="240"/>
      <c r="F97" s="240"/>
      <c r="G97" s="240"/>
      <c r="H97" s="240"/>
      <c r="I97" s="240"/>
      <c r="J97" s="240"/>
      <c r="K97" s="240"/>
      <c r="L97" s="240"/>
      <c r="M97" s="240"/>
      <c r="N97" s="240"/>
      <c r="O97" s="240"/>
      <c r="P97" s="240"/>
      <c r="Q97" s="12"/>
    </row>
    <row r="98" spans="1:17" s="11" customFormat="1" ht="12" hidden="1" customHeight="1" x14ac:dyDescent="0.2">
      <c r="A98" s="12"/>
      <c r="B98" s="584"/>
      <c r="C98" s="584"/>
      <c r="D98" s="584"/>
      <c r="E98" s="584"/>
      <c r="F98" s="584"/>
      <c r="G98" s="584"/>
      <c r="H98" s="584"/>
      <c r="I98" s="584"/>
      <c r="J98" s="584"/>
      <c r="K98" s="584"/>
      <c r="L98" s="584"/>
      <c r="M98" s="584"/>
      <c r="N98" s="584"/>
      <c r="O98" s="584"/>
      <c r="P98" s="584"/>
      <c r="Q98" s="12"/>
    </row>
    <row r="99" spans="1:17" s="11" customFormat="1" ht="15" hidden="1" customHeight="1" x14ac:dyDescent="0.2">
      <c r="A99" s="12"/>
      <c r="B99" s="240"/>
      <c r="C99" s="240"/>
      <c r="D99" s="240"/>
      <c r="E99" s="240"/>
      <c r="F99" s="240"/>
      <c r="G99" s="240"/>
      <c r="H99" s="240"/>
      <c r="I99" s="240"/>
      <c r="J99" s="240"/>
      <c r="K99" s="240"/>
      <c r="L99" s="240"/>
      <c r="M99" s="240"/>
      <c r="N99" s="240"/>
      <c r="O99" s="240"/>
      <c r="P99" s="240"/>
      <c r="Q99" s="12"/>
    </row>
    <row r="100" spans="1:17" s="11" customFormat="1" ht="12" hidden="1" customHeight="1" x14ac:dyDescent="0.2">
      <c r="A100" s="12"/>
      <c r="B100" s="584"/>
      <c r="C100" s="584"/>
      <c r="D100" s="584"/>
      <c r="E100" s="584"/>
      <c r="F100" s="584"/>
      <c r="G100" s="584"/>
      <c r="H100" s="584"/>
      <c r="I100" s="584"/>
      <c r="J100" s="584"/>
      <c r="K100" s="584"/>
      <c r="L100" s="584"/>
      <c r="M100" s="584"/>
      <c r="N100" s="584"/>
      <c r="O100" s="584"/>
      <c r="P100" s="584"/>
      <c r="Q100" s="12"/>
    </row>
    <row r="101" spans="1:17" s="11" customFormat="1" ht="12" hidden="1" customHeight="1" x14ac:dyDescent="0.2">
      <c r="A101" s="12"/>
      <c r="B101" s="240"/>
      <c r="C101" s="240"/>
      <c r="D101" s="240"/>
      <c r="E101" s="240"/>
      <c r="F101" s="240"/>
      <c r="G101" s="240"/>
      <c r="H101" s="240"/>
      <c r="I101" s="240"/>
      <c r="J101" s="240"/>
      <c r="K101" s="240"/>
      <c r="L101" s="240"/>
      <c r="M101" s="240"/>
      <c r="N101" s="240"/>
      <c r="O101" s="240"/>
      <c r="P101" s="240"/>
      <c r="Q101" s="12"/>
    </row>
    <row r="102" spans="1:17" s="11" customFormat="1" ht="12" hidden="1" customHeight="1" x14ac:dyDescent="0.2">
      <c r="A102" s="12"/>
      <c r="B102" s="584"/>
      <c r="C102" s="584"/>
      <c r="D102" s="584"/>
      <c r="E102" s="584"/>
      <c r="F102" s="584"/>
      <c r="G102" s="584"/>
      <c r="H102" s="584"/>
      <c r="I102" s="584"/>
      <c r="J102" s="584"/>
      <c r="K102" s="584"/>
      <c r="L102" s="584"/>
      <c r="M102" s="584"/>
      <c r="N102" s="584"/>
      <c r="O102" s="584"/>
      <c r="P102" s="584"/>
      <c r="Q102" s="12"/>
    </row>
    <row r="103" spans="1:17" s="585" customFormat="1" ht="27" hidden="1" customHeight="1" x14ac:dyDescent="0.25">
      <c r="A103" s="584"/>
      <c r="B103" s="240"/>
      <c r="C103" s="240"/>
      <c r="D103" s="240"/>
      <c r="E103" s="240"/>
      <c r="F103" s="240"/>
      <c r="G103" s="240"/>
      <c r="H103" s="240"/>
      <c r="I103" s="240"/>
      <c r="J103" s="240"/>
      <c r="K103" s="240"/>
      <c r="L103" s="240"/>
      <c r="M103" s="240"/>
      <c r="N103" s="240"/>
      <c r="O103" s="240"/>
      <c r="P103" s="240"/>
      <c r="Q103" s="584"/>
    </row>
    <row r="104" spans="1:17" s="11" customFormat="1" ht="12" hidden="1" customHeight="1" x14ac:dyDescent="0.2">
      <c r="A104" s="12"/>
      <c r="B104" s="584"/>
      <c r="C104" s="584"/>
      <c r="D104" s="584"/>
      <c r="E104" s="584"/>
      <c r="F104" s="584"/>
      <c r="G104" s="584"/>
      <c r="H104" s="584"/>
      <c r="I104" s="584"/>
      <c r="J104" s="584"/>
      <c r="K104" s="584"/>
      <c r="L104" s="584"/>
      <c r="M104" s="584"/>
      <c r="N104" s="584"/>
      <c r="O104" s="584"/>
      <c r="P104" s="584"/>
      <c r="Q104" s="12"/>
    </row>
    <row r="105" spans="1:17" s="11" customFormat="1" ht="15" hidden="1" customHeight="1" x14ac:dyDescent="0.2">
      <c r="A105" s="12"/>
      <c r="B105" s="584"/>
      <c r="C105" s="584"/>
      <c r="D105" s="584"/>
      <c r="E105" s="584"/>
      <c r="F105" s="584"/>
      <c r="G105" s="584"/>
      <c r="H105" s="584"/>
      <c r="I105" s="584"/>
      <c r="J105" s="584"/>
      <c r="K105" s="584"/>
      <c r="L105" s="584"/>
      <c r="M105" s="584"/>
      <c r="N105" s="584"/>
      <c r="O105" s="584"/>
      <c r="P105" s="584"/>
      <c r="Q105" s="12"/>
    </row>
    <row r="106" spans="1:17" s="11" customFormat="1" ht="12" hidden="1" customHeight="1" x14ac:dyDescent="0.2">
      <c r="A106" s="12"/>
      <c r="B106" s="584"/>
      <c r="C106" s="584"/>
      <c r="D106" s="584"/>
      <c r="E106" s="584"/>
      <c r="F106" s="584"/>
      <c r="G106" s="584"/>
      <c r="H106" s="584"/>
      <c r="I106" s="584"/>
      <c r="J106" s="584"/>
      <c r="K106" s="584"/>
      <c r="L106" s="584"/>
      <c r="M106" s="584"/>
      <c r="N106" s="584"/>
      <c r="O106" s="584"/>
      <c r="P106" s="584"/>
      <c r="Q106" s="12"/>
    </row>
    <row r="107" spans="1:17" s="11" customFormat="1" ht="27" hidden="1" customHeight="1" x14ac:dyDescent="0.2">
      <c r="A107" s="12"/>
      <c r="B107" s="1037"/>
      <c r="C107" s="1037"/>
      <c r="D107" s="1037"/>
      <c r="E107" s="1037"/>
      <c r="F107" s="1037"/>
      <c r="G107" s="1037"/>
      <c r="H107" s="1037"/>
      <c r="I107" s="1037"/>
      <c r="J107" s="1037"/>
      <c r="K107" s="1037"/>
      <c r="L107" s="1037"/>
      <c r="M107" s="1037"/>
      <c r="N107" s="1037"/>
      <c r="O107" s="1037"/>
      <c r="P107" s="1037"/>
      <c r="Q107" s="12"/>
    </row>
    <row r="108" spans="1:17" s="11" customFormat="1" ht="12" hidden="1" customHeight="1" x14ac:dyDescent="0.2">
      <c r="A108" s="12"/>
      <c r="B108" s="584"/>
      <c r="C108" s="584"/>
      <c r="D108" s="584"/>
      <c r="E108" s="584"/>
      <c r="F108" s="584"/>
      <c r="G108" s="584"/>
      <c r="H108" s="584"/>
      <c r="I108" s="584"/>
      <c r="J108" s="584"/>
      <c r="K108" s="584"/>
      <c r="L108" s="584"/>
      <c r="M108" s="584"/>
      <c r="N108" s="584"/>
      <c r="O108" s="584"/>
      <c r="P108" s="584"/>
      <c r="Q108" s="12"/>
    </row>
    <row r="109" spans="1:17" s="11" customFormat="1" ht="27" hidden="1" customHeight="1" x14ac:dyDescent="0.2">
      <c r="A109" s="12"/>
      <c r="B109" s="1037"/>
      <c r="C109" s="1037"/>
      <c r="D109" s="1037"/>
      <c r="E109" s="1037"/>
      <c r="F109" s="1037"/>
      <c r="G109" s="1037"/>
      <c r="H109" s="1037"/>
      <c r="I109" s="1037"/>
      <c r="J109" s="1037"/>
      <c r="K109" s="1037"/>
      <c r="L109" s="1037"/>
      <c r="M109" s="1037"/>
      <c r="N109" s="1037"/>
      <c r="O109" s="1037"/>
      <c r="P109" s="1037"/>
      <c r="Q109" s="12"/>
    </row>
    <row r="110" spans="1:17" s="11" customFormat="1" ht="12" hidden="1" customHeight="1" x14ac:dyDescent="0.2">
      <c r="A110" s="12"/>
      <c r="B110" s="584"/>
      <c r="C110" s="584"/>
      <c r="D110" s="584"/>
      <c r="E110" s="584"/>
      <c r="F110" s="584"/>
      <c r="G110" s="584"/>
      <c r="H110" s="584"/>
      <c r="I110" s="584"/>
      <c r="J110" s="584"/>
      <c r="K110" s="584"/>
      <c r="L110" s="584"/>
      <c r="M110" s="584"/>
      <c r="N110" s="584"/>
      <c r="O110" s="584"/>
      <c r="P110" s="584"/>
      <c r="Q110" s="12"/>
    </row>
    <row r="111" spans="1:17" s="585" customFormat="1" ht="27" hidden="1" customHeight="1" x14ac:dyDescent="0.25">
      <c r="A111" s="584"/>
      <c r="B111" s="240"/>
      <c r="C111" s="240"/>
      <c r="D111" s="240"/>
      <c r="E111" s="240"/>
      <c r="F111" s="240"/>
      <c r="G111" s="240"/>
      <c r="H111" s="240"/>
      <c r="I111" s="240"/>
      <c r="J111" s="240"/>
      <c r="K111" s="240"/>
      <c r="L111" s="240"/>
      <c r="M111" s="240"/>
      <c r="N111" s="240"/>
      <c r="O111" s="240"/>
      <c r="P111" s="240"/>
      <c r="Q111" s="584"/>
    </row>
    <row r="112" spans="1:17" s="11" customFormat="1" ht="12" hidden="1" customHeight="1" x14ac:dyDescent="0.2">
      <c r="A112" s="12"/>
      <c r="B112" s="584"/>
      <c r="C112" s="584"/>
      <c r="D112" s="584"/>
      <c r="E112" s="584"/>
      <c r="F112" s="584"/>
      <c r="G112" s="584"/>
      <c r="H112" s="584"/>
      <c r="I112" s="584"/>
      <c r="J112" s="584"/>
      <c r="K112" s="584"/>
      <c r="L112" s="584"/>
      <c r="M112" s="584"/>
      <c r="N112" s="584"/>
      <c r="O112" s="584"/>
      <c r="P112" s="584"/>
      <c r="Q112" s="12"/>
    </row>
    <row r="113" spans="1:17" s="11" customFormat="1" ht="15" hidden="1" customHeight="1" x14ac:dyDescent="0.2">
      <c r="A113" s="12"/>
      <c r="B113" s="584"/>
      <c r="C113" s="584"/>
      <c r="D113" s="584"/>
      <c r="E113" s="584"/>
      <c r="F113" s="584"/>
      <c r="G113" s="584"/>
      <c r="H113" s="584"/>
      <c r="I113" s="584"/>
      <c r="J113" s="584"/>
      <c r="K113" s="584"/>
      <c r="L113" s="584"/>
      <c r="M113" s="584"/>
      <c r="N113" s="584"/>
      <c r="O113" s="584"/>
      <c r="P113" s="584"/>
      <c r="Q113" s="12"/>
    </row>
    <row r="114" spans="1:17" s="11" customFormat="1" ht="15" hidden="1" customHeight="1" x14ac:dyDescent="0.2">
      <c r="A114" s="208"/>
      <c r="B114" s="208"/>
      <c r="C114" s="208"/>
      <c r="D114" s="208"/>
      <c r="E114" s="208"/>
      <c r="F114" s="208"/>
      <c r="G114" s="208"/>
      <c r="H114" s="208"/>
      <c r="I114" s="208"/>
      <c r="J114" s="208"/>
      <c r="K114" s="208"/>
      <c r="L114" s="208"/>
      <c r="M114" s="208"/>
      <c r="N114" s="208"/>
      <c r="O114" s="208"/>
      <c r="P114" s="208"/>
      <c r="Q114" s="208"/>
    </row>
    <row r="115" spans="1:17" ht="15" hidden="1" customHeight="1" x14ac:dyDescent="0.25"/>
    <row r="116" spans="1:17" ht="15" hidden="1" customHeight="1" x14ac:dyDescent="0.25"/>
    <row r="117" spans="1:17" ht="15" hidden="1" customHeight="1" x14ac:dyDescent="0.25"/>
    <row r="118" spans="1:17" ht="15" hidden="1" customHeight="1" x14ac:dyDescent="0.25"/>
    <row r="119" spans="1:17" ht="15" hidden="1" customHeight="1" x14ac:dyDescent="0.25"/>
    <row r="120" spans="1:17" ht="15" hidden="1" customHeight="1" x14ac:dyDescent="0.25"/>
    <row r="121" spans="1:17" ht="15" hidden="1" customHeight="1" x14ac:dyDescent="0.25"/>
    <row r="122" spans="1:17" ht="15" hidden="1" customHeight="1" x14ac:dyDescent="0.25"/>
    <row r="123" spans="1:17" ht="15" hidden="1" customHeight="1" x14ac:dyDescent="0.25"/>
    <row r="124" spans="1:17" ht="15" hidden="1" customHeight="1" x14ac:dyDescent="0.25"/>
    <row r="125" spans="1:17" ht="15" hidden="1" customHeight="1" x14ac:dyDescent="0.25"/>
    <row r="126" spans="1:17" ht="15" hidden="1" customHeight="1" x14ac:dyDescent="0.25"/>
    <row r="127" spans="1:17" ht="15" hidden="1" customHeight="1" x14ac:dyDescent="0.25"/>
    <row r="128" spans="1:17"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sheetData>
  <sheetProtection algorithmName="SHA-512" hashValue="NrHJ9Whu4tzTq8aGo911gZ6+L/cjzaZxVRhjGij4PXUPTYNQdGm7trb/I3L48Iqx1B1IZIemV0g84LdTd/83mw==" saltValue="9kgRY/v4NvYbr2wEvO0j1Q==" spinCount="100000" sheet="1" objects="1" scenarios="1" formatRows="0"/>
  <mergeCells count="10">
    <mergeCell ref="A1:Q1"/>
    <mergeCell ref="A3:Q3"/>
    <mergeCell ref="B24:H24"/>
    <mergeCell ref="B21:P22"/>
    <mergeCell ref="B68:P68"/>
    <mergeCell ref="B32:P32"/>
    <mergeCell ref="B38:P38"/>
    <mergeCell ref="B35:P35"/>
    <mergeCell ref="B47:P47"/>
    <mergeCell ref="A40:Q40"/>
  </mergeCells>
  <pageMargins left="0.7" right="0.7" top="0.75" bottom="0.75" header="0.3" footer="0.3"/>
  <pageSetup orientation="portrait" horizontalDpi="30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5F4970"/>
  </sheetPr>
  <dimension ref="A1:O278"/>
  <sheetViews>
    <sheetView showRowColHeaders="0" zoomScaleNormal="100" workbookViewId="0">
      <pane ySplit="8" topLeftCell="A9" activePane="bottomLeft" state="frozen"/>
      <selection pane="bottomLeft" activeCell="A5" sqref="A5:L7"/>
    </sheetView>
  </sheetViews>
  <sheetFormatPr defaultColWidth="0" defaultRowHeight="0" customHeight="1" zeroHeight="1" x14ac:dyDescent="0.25"/>
  <cols>
    <col min="1" max="1" width="3.7109375" customWidth="1"/>
    <col min="2" max="2" width="23.140625" customWidth="1"/>
    <col min="3" max="3" width="21.5703125" customWidth="1"/>
    <col min="4" max="4" width="28.7109375" customWidth="1"/>
    <col min="5" max="5" width="10.140625" customWidth="1"/>
    <col min="6" max="6" width="26.140625" customWidth="1"/>
    <col min="7" max="7" width="21.42578125" customWidth="1"/>
    <col min="8" max="8" width="17.7109375" customWidth="1"/>
    <col min="9" max="9" width="14.140625" customWidth="1"/>
    <col min="10" max="12" width="9.140625" customWidth="1"/>
    <col min="13" max="13" width="9.140625" hidden="1" customWidth="1"/>
    <col min="14" max="14" width="29" hidden="1" customWidth="1"/>
    <col min="15" max="16384" width="9.140625" hidden="1"/>
  </cols>
  <sheetData>
    <row r="1" spans="1:14" ht="25.5" customHeight="1" x14ac:dyDescent="0.25">
      <c r="A1" s="1985" t="s">
        <v>2291</v>
      </c>
      <c r="B1" s="1985"/>
      <c r="C1" s="1985"/>
      <c r="D1" s="1985"/>
      <c r="E1" s="1985"/>
      <c r="F1" s="1985"/>
      <c r="G1" s="1985"/>
      <c r="H1" s="1985"/>
      <c r="I1" s="1985"/>
      <c r="J1" s="1985"/>
      <c r="K1" s="1985"/>
      <c r="L1" s="1985"/>
    </row>
    <row r="2" spans="1:14" ht="15" customHeight="1" x14ac:dyDescent="0.25">
      <c r="A2" s="4"/>
      <c r="B2" s="4"/>
      <c r="C2" s="4"/>
      <c r="D2" s="4"/>
      <c r="E2" s="4"/>
      <c r="F2" s="5"/>
      <c r="G2" s="5"/>
      <c r="H2" s="161"/>
      <c r="I2" s="1753" t="s">
        <v>2315</v>
      </c>
      <c r="J2" s="1753"/>
      <c r="K2" s="1753"/>
      <c r="L2" s="1225" t="s">
        <v>2285</v>
      </c>
    </row>
    <row r="3" spans="1:14" ht="15" x14ac:dyDescent="0.25">
      <c r="A3" s="4"/>
      <c r="B3" s="4"/>
      <c r="C3" s="4"/>
      <c r="D3" s="4"/>
      <c r="E3" s="4"/>
      <c r="F3" s="5"/>
      <c r="G3" s="161"/>
      <c r="H3" s="161"/>
      <c r="I3" s="1753"/>
      <c r="J3" s="1753"/>
      <c r="K3" s="1753"/>
      <c r="L3" s="1225" t="s">
        <v>2283</v>
      </c>
    </row>
    <row r="4" spans="1:14" ht="15" customHeight="1" x14ac:dyDescent="0.25">
      <c r="A4" s="4"/>
      <c r="B4" s="4"/>
      <c r="C4" s="4"/>
      <c r="D4" s="4"/>
      <c r="E4" s="4"/>
      <c r="F4" s="5"/>
      <c r="G4" s="162"/>
      <c r="H4" s="162"/>
      <c r="I4" s="1754"/>
      <c r="J4" s="1754"/>
      <c r="K4" s="1754"/>
      <c r="L4" s="1225" t="s">
        <v>2284</v>
      </c>
    </row>
    <row r="5" spans="1:14" s="35" customFormat="1" ht="17.25" customHeight="1" x14ac:dyDescent="0.25">
      <c r="A5" s="1656" t="s">
        <v>2629</v>
      </c>
      <c r="B5" s="1657"/>
      <c r="C5" s="1657"/>
      <c r="D5" s="1657"/>
      <c r="E5" s="1657"/>
      <c r="F5" s="1657"/>
      <c r="G5" s="1657"/>
      <c r="H5" s="1657"/>
      <c r="I5" s="1657"/>
      <c r="J5" s="1657"/>
      <c r="K5" s="1657"/>
      <c r="L5" s="1658"/>
      <c r="M5"/>
      <c r="N5"/>
    </row>
    <row r="6" spans="1:14" s="35" customFormat="1" ht="17.25" customHeight="1" x14ac:dyDescent="0.25">
      <c r="A6" s="1659"/>
      <c r="B6" s="1660"/>
      <c r="C6" s="1660"/>
      <c r="D6" s="1660"/>
      <c r="E6" s="1660"/>
      <c r="F6" s="1660"/>
      <c r="G6" s="1660"/>
      <c r="H6" s="1660"/>
      <c r="I6" s="1660"/>
      <c r="J6" s="1660"/>
      <c r="K6" s="1660"/>
      <c r="L6" s="1661"/>
      <c r="M6"/>
      <c r="N6"/>
    </row>
    <row r="7" spans="1:14" s="35" customFormat="1" ht="17.25" customHeight="1" x14ac:dyDescent="0.25">
      <c r="A7" s="1662"/>
      <c r="B7" s="1663"/>
      <c r="C7" s="1663"/>
      <c r="D7" s="1663"/>
      <c r="E7" s="1663"/>
      <c r="F7" s="1663"/>
      <c r="G7" s="1663"/>
      <c r="H7" s="1663"/>
      <c r="I7" s="1663"/>
      <c r="J7" s="1663"/>
      <c r="K7" s="1663"/>
      <c r="L7" s="1664"/>
      <c r="M7"/>
      <c r="N7"/>
    </row>
    <row r="8" spans="1:14" s="35" customFormat="1" ht="11.25" customHeight="1" x14ac:dyDescent="0.25">
      <c r="A8" s="45"/>
      <c r="B8" s="46"/>
      <c r="C8" s="46"/>
      <c r="D8" s="46"/>
      <c r="E8" s="45"/>
      <c r="F8" s="45"/>
      <c r="G8" s="45"/>
      <c r="H8" s="45"/>
      <c r="I8" s="45"/>
      <c r="J8" s="45"/>
      <c r="K8" s="45"/>
      <c r="L8" s="45"/>
      <c r="M8"/>
      <c r="N8"/>
    </row>
    <row r="9" spans="1:14" ht="18" customHeight="1" x14ac:dyDescent="0.25">
      <c r="A9" s="2008" t="s">
        <v>82</v>
      </c>
      <c r="B9" s="2008"/>
      <c r="C9" s="2008"/>
      <c r="D9" s="2008"/>
      <c r="E9" s="2008"/>
      <c r="F9" s="2008"/>
      <c r="G9" s="2008"/>
      <c r="H9" s="2008"/>
      <c r="I9" s="2008"/>
      <c r="J9" s="2008"/>
      <c r="K9" s="2008"/>
      <c r="L9" s="2008"/>
    </row>
    <row r="10" spans="1:14" ht="15" x14ac:dyDescent="0.25">
      <c r="A10" s="5"/>
      <c r="B10" s="4"/>
      <c r="C10" s="4"/>
      <c r="D10" s="4"/>
      <c r="E10" s="5"/>
      <c r="F10" s="5"/>
      <c r="G10" s="5"/>
      <c r="H10" s="5"/>
      <c r="I10" s="5"/>
      <c r="J10" s="5"/>
      <c r="K10" s="5"/>
      <c r="L10" s="5"/>
    </row>
    <row r="11" spans="1:14" ht="21" customHeight="1" x14ac:dyDescent="0.25">
      <c r="A11" s="5"/>
      <c r="B11" s="2003" t="s">
        <v>83</v>
      </c>
      <c r="C11" s="2004"/>
      <c r="D11" s="2004"/>
      <c r="E11" s="2004" t="s">
        <v>64</v>
      </c>
      <c r="F11" s="262" t="s">
        <v>64</v>
      </c>
      <c r="G11" s="262" t="s">
        <v>16</v>
      </c>
      <c r="H11" s="163" t="s">
        <v>133</v>
      </c>
      <c r="I11" s="5"/>
      <c r="J11" s="5"/>
      <c r="K11" s="5"/>
      <c r="L11" s="5"/>
    </row>
    <row r="12" spans="1:14" ht="39.75" customHeight="1" x14ac:dyDescent="0.25">
      <c r="A12" s="5"/>
      <c r="B12" s="2005" t="s">
        <v>2335</v>
      </c>
      <c r="C12" s="2006"/>
      <c r="D12" s="2006"/>
      <c r="E12" s="2007">
        <v>10</v>
      </c>
      <c r="F12" s="33">
        <v>4</v>
      </c>
      <c r="G12" s="281">
        <f>C129</f>
        <v>0</v>
      </c>
      <c r="H12" s="281" t="str">
        <f>C130</f>
        <v>No</v>
      </c>
      <c r="I12" s="5"/>
      <c r="J12" s="5"/>
      <c r="K12" s="5"/>
      <c r="L12" s="5"/>
    </row>
    <row r="13" spans="1:14" ht="18" customHeight="1" x14ac:dyDescent="0.25">
      <c r="A13" s="5"/>
      <c r="B13" s="4"/>
      <c r="C13" s="4"/>
      <c r="D13" s="4"/>
      <c r="E13" s="5"/>
      <c r="F13" s="5"/>
      <c r="G13" s="5"/>
      <c r="H13" s="5"/>
      <c r="I13" s="5"/>
      <c r="J13" s="5"/>
      <c r="K13" s="5"/>
      <c r="L13" s="5"/>
    </row>
    <row r="14" spans="1:14" ht="18" customHeight="1" x14ac:dyDescent="0.25">
      <c r="A14" s="2008" t="s">
        <v>102</v>
      </c>
      <c r="B14" s="2008"/>
      <c r="C14" s="2008"/>
      <c r="D14" s="2008"/>
      <c r="E14" s="2008"/>
      <c r="F14" s="2008"/>
      <c r="G14" s="2008"/>
      <c r="H14" s="2008"/>
      <c r="I14" s="2008"/>
      <c r="J14" s="2008"/>
      <c r="K14" s="2008"/>
      <c r="L14" s="2008"/>
    </row>
    <row r="15" spans="1:14" ht="15" x14ac:dyDescent="0.25">
      <c r="A15" s="4"/>
      <c r="B15" s="4"/>
      <c r="C15" s="4"/>
      <c r="D15" s="4"/>
      <c r="E15" s="4"/>
      <c r="F15" s="4"/>
      <c r="G15" s="4"/>
      <c r="H15" s="4"/>
      <c r="I15" s="4"/>
      <c r="J15" s="4"/>
      <c r="K15" s="4"/>
      <c r="L15" s="4"/>
    </row>
    <row r="16" spans="1:14" ht="15" x14ac:dyDescent="0.25">
      <c r="A16" s="4"/>
      <c r="B16" s="1050" t="s">
        <v>766</v>
      </c>
      <c r="C16" s="4"/>
      <c r="D16" s="4"/>
      <c r="E16" s="4"/>
      <c r="F16" s="4"/>
      <c r="G16" s="4"/>
      <c r="H16" s="4"/>
      <c r="I16" s="4"/>
      <c r="J16" s="4"/>
      <c r="K16" s="4"/>
      <c r="L16" s="4"/>
    </row>
    <row r="17" spans="1:12" ht="15" x14ac:dyDescent="0.25">
      <c r="A17" s="4"/>
      <c r="B17" s="4"/>
      <c r="C17" s="4"/>
      <c r="D17" s="4"/>
      <c r="E17" s="4"/>
      <c r="F17" s="4"/>
      <c r="G17" s="4"/>
      <c r="H17" s="4"/>
      <c r="I17" s="4"/>
      <c r="J17" s="4"/>
      <c r="K17" s="4"/>
      <c r="L17" s="4"/>
    </row>
    <row r="18" spans="1:12" ht="15" x14ac:dyDescent="0.25">
      <c r="A18" s="4"/>
      <c r="B18" s="607" t="s">
        <v>1848</v>
      </c>
      <c r="C18" s="4"/>
      <c r="D18" s="4"/>
      <c r="E18" s="4"/>
      <c r="F18" s="4"/>
      <c r="G18" s="4"/>
      <c r="H18" s="4"/>
      <c r="I18" s="4"/>
      <c r="J18" s="4"/>
      <c r="K18" s="4"/>
      <c r="L18" s="4"/>
    </row>
    <row r="19" spans="1:12" ht="15" x14ac:dyDescent="0.25">
      <c r="A19" s="4"/>
      <c r="B19" s="607" t="s">
        <v>220</v>
      </c>
      <c r="C19" s="4"/>
      <c r="D19" s="4"/>
      <c r="E19" s="4"/>
      <c r="F19" s="4"/>
      <c r="G19" s="4"/>
      <c r="H19" s="4"/>
      <c r="I19" s="4"/>
      <c r="J19" s="4"/>
      <c r="K19" s="4"/>
      <c r="L19" s="4"/>
    </row>
    <row r="20" spans="1:12" ht="15" x14ac:dyDescent="0.25">
      <c r="A20" s="4"/>
      <c r="B20" s="608" t="s">
        <v>227</v>
      </c>
      <c r="C20" s="4"/>
      <c r="D20" s="4"/>
      <c r="E20" s="4"/>
      <c r="F20" s="4"/>
      <c r="G20" s="4"/>
      <c r="H20" s="4"/>
      <c r="I20" s="4"/>
      <c r="J20" s="4"/>
      <c r="K20" s="4"/>
      <c r="L20" s="4"/>
    </row>
    <row r="21" spans="1:12" ht="15" x14ac:dyDescent="0.25">
      <c r="A21" s="4"/>
      <c r="B21" s="608" t="s">
        <v>1847</v>
      </c>
      <c r="C21" s="4"/>
      <c r="D21" s="4"/>
      <c r="E21" s="4"/>
      <c r="F21" s="4"/>
      <c r="G21" s="4"/>
      <c r="H21" s="4"/>
      <c r="I21" s="4"/>
      <c r="J21" s="4"/>
      <c r="K21" s="4"/>
      <c r="L21" s="4"/>
    </row>
    <row r="22" spans="1:12" ht="15" x14ac:dyDescent="0.25">
      <c r="A22" s="4"/>
      <c r="B22" s="608" t="s">
        <v>219</v>
      </c>
      <c r="C22" s="4"/>
      <c r="D22" s="4"/>
      <c r="E22" s="4"/>
      <c r="F22" s="4"/>
      <c r="G22" s="4"/>
      <c r="H22" s="4"/>
      <c r="I22" s="4"/>
      <c r="J22" s="4"/>
      <c r="K22" s="4"/>
      <c r="L22" s="4"/>
    </row>
    <row r="23" spans="1:12" ht="15" x14ac:dyDescent="0.25">
      <c r="A23" s="4"/>
      <c r="B23" s="608" t="s">
        <v>225</v>
      </c>
      <c r="C23" s="4"/>
      <c r="D23" s="4"/>
      <c r="E23" s="4"/>
      <c r="F23" s="4"/>
      <c r="G23" s="4"/>
      <c r="H23" s="4"/>
      <c r="I23" s="4"/>
      <c r="J23" s="4"/>
      <c r="K23" s="4"/>
      <c r="L23" s="4"/>
    </row>
    <row r="24" spans="1:12" ht="15" x14ac:dyDescent="0.25">
      <c r="A24" s="4"/>
      <c r="B24" s="608" t="s">
        <v>221</v>
      </c>
      <c r="C24" s="4"/>
      <c r="D24" s="4"/>
      <c r="E24" s="4"/>
      <c r="F24" s="4"/>
      <c r="G24" s="4"/>
      <c r="H24" s="4"/>
      <c r="I24" s="4"/>
      <c r="J24" s="4"/>
      <c r="K24" s="4"/>
      <c r="L24" s="4"/>
    </row>
    <row r="25" spans="1:12" ht="15" x14ac:dyDescent="0.25">
      <c r="A25" s="4"/>
      <c r="B25" s="608" t="s">
        <v>224</v>
      </c>
      <c r="C25" s="4"/>
      <c r="D25" s="4"/>
      <c r="E25" s="4"/>
      <c r="F25" s="4"/>
      <c r="G25" s="4"/>
      <c r="H25" s="4"/>
      <c r="I25" s="4"/>
      <c r="J25" s="4"/>
      <c r="K25" s="4"/>
      <c r="L25" s="4"/>
    </row>
    <row r="26" spans="1:12" ht="9" customHeight="1" x14ac:dyDescent="0.25">
      <c r="A26" s="4"/>
      <c r="B26" s="4"/>
      <c r="C26" s="4"/>
      <c r="D26" s="4"/>
      <c r="E26" s="4"/>
      <c r="F26" s="4"/>
      <c r="G26" s="4"/>
      <c r="H26" s="4"/>
      <c r="I26" s="4"/>
      <c r="J26" s="4"/>
      <c r="K26" s="4"/>
      <c r="L26" s="4"/>
    </row>
    <row r="27" spans="1:12" ht="15" x14ac:dyDescent="0.25">
      <c r="A27" s="4"/>
      <c r="B27" s="607" t="s">
        <v>222</v>
      </c>
      <c r="C27" s="4"/>
      <c r="D27" s="4"/>
      <c r="E27" s="4"/>
      <c r="F27" s="4"/>
      <c r="G27" s="4"/>
      <c r="H27" s="4"/>
      <c r="I27" s="4"/>
      <c r="J27" s="4"/>
      <c r="K27" s="4"/>
      <c r="L27" s="4"/>
    </row>
    <row r="28" spans="1:12" ht="15" x14ac:dyDescent="0.25">
      <c r="A28" s="4"/>
      <c r="B28" s="608" t="s">
        <v>223</v>
      </c>
      <c r="C28" s="4"/>
      <c r="D28" s="4"/>
      <c r="E28" s="4"/>
      <c r="F28" s="4"/>
      <c r="G28" s="4"/>
      <c r="H28" s="4"/>
      <c r="I28" s="4"/>
      <c r="J28" s="4"/>
      <c r="K28" s="4"/>
      <c r="L28" s="4"/>
    </row>
    <row r="29" spans="1:12" ht="15" x14ac:dyDescent="0.25">
      <c r="A29" s="4"/>
      <c r="B29" s="608" t="s">
        <v>226</v>
      </c>
      <c r="C29" s="4"/>
      <c r="D29" s="4"/>
      <c r="E29" s="4"/>
      <c r="F29" s="4"/>
      <c r="G29" s="4"/>
      <c r="H29" s="4"/>
      <c r="I29" s="4"/>
      <c r="J29" s="4"/>
      <c r="K29" s="4"/>
      <c r="L29" s="4"/>
    </row>
    <row r="30" spans="1:12" ht="10.5" customHeight="1" x14ac:dyDescent="0.25">
      <c r="A30" s="4"/>
      <c r="B30" s="4"/>
      <c r="C30" s="4"/>
      <c r="D30" s="4"/>
      <c r="E30" s="4"/>
      <c r="F30" s="4"/>
      <c r="G30" s="4"/>
      <c r="H30" s="4"/>
      <c r="I30" s="4"/>
      <c r="J30" s="4"/>
      <c r="K30" s="4"/>
      <c r="L30" s="4"/>
    </row>
    <row r="31" spans="1:12" ht="15" x14ac:dyDescent="0.25">
      <c r="A31" s="4"/>
      <c r="B31" s="2009" t="s">
        <v>2036</v>
      </c>
      <c r="C31" s="2010"/>
      <c r="D31" s="2010"/>
      <c r="E31" s="2010"/>
      <c r="F31" s="2011"/>
      <c r="G31" s="4"/>
      <c r="H31" s="4"/>
      <c r="I31" s="4"/>
      <c r="J31" s="4"/>
      <c r="K31" s="4"/>
      <c r="L31" s="4"/>
    </row>
    <row r="32" spans="1:12" ht="15" x14ac:dyDescent="0.25">
      <c r="A32" s="4"/>
      <c r="B32" s="2041" t="s">
        <v>1797</v>
      </c>
      <c r="C32" s="2042"/>
      <c r="D32" s="2042"/>
      <c r="E32" s="2042"/>
      <c r="F32" s="2043"/>
      <c r="G32" s="4"/>
      <c r="H32" s="4"/>
      <c r="I32" s="4"/>
      <c r="J32" s="4"/>
      <c r="K32" s="4"/>
      <c r="L32" s="4"/>
    </row>
    <row r="33" spans="1:15" ht="15" x14ac:dyDescent="0.25">
      <c r="A33" s="4"/>
      <c r="B33" s="2041" t="s">
        <v>1800</v>
      </c>
      <c r="C33" s="2042"/>
      <c r="D33" s="2042"/>
      <c r="E33" s="2042"/>
      <c r="F33" s="2043"/>
      <c r="G33" s="4"/>
      <c r="H33" s="4"/>
      <c r="I33" s="4"/>
      <c r="J33" s="4"/>
      <c r="K33" s="4"/>
      <c r="L33" s="4"/>
    </row>
    <row r="34" spans="1:15" ht="15" x14ac:dyDescent="0.25">
      <c r="A34" s="4"/>
      <c r="B34" s="2041" t="s">
        <v>1799</v>
      </c>
      <c r="C34" s="2042"/>
      <c r="D34" s="2042"/>
      <c r="E34" s="2042"/>
      <c r="F34" s="2043"/>
      <c r="G34" s="4"/>
      <c r="H34" s="4"/>
      <c r="I34" s="4"/>
      <c r="J34" s="4"/>
      <c r="K34" s="4"/>
      <c r="L34" s="4"/>
    </row>
    <row r="35" spans="1:15" ht="15" x14ac:dyDescent="0.25">
      <c r="A35" s="4"/>
      <c r="B35" s="2041" t="s">
        <v>2526</v>
      </c>
      <c r="C35" s="2042"/>
      <c r="D35" s="2042"/>
      <c r="E35" s="2042"/>
      <c r="F35" s="2043"/>
      <c r="G35" s="4"/>
      <c r="H35" s="4"/>
      <c r="I35" s="4"/>
      <c r="J35" s="4"/>
      <c r="K35" s="4"/>
      <c r="L35" s="4"/>
      <c r="N35" s="1295" t="s">
        <v>53</v>
      </c>
    </row>
    <row r="36" spans="1:15" ht="15" customHeight="1" x14ac:dyDescent="0.25">
      <c r="A36" s="4"/>
      <c r="B36" s="2041" t="s">
        <v>2527</v>
      </c>
      <c r="C36" s="2042"/>
      <c r="D36" s="2042"/>
      <c r="E36" s="2042"/>
      <c r="F36" s="2043"/>
      <c r="G36" s="4"/>
      <c r="H36" s="4"/>
      <c r="I36" s="4"/>
      <c r="J36" s="4"/>
      <c r="K36" s="4"/>
      <c r="L36" s="4"/>
      <c r="N36" s="1295" t="s">
        <v>2582</v>
      </c>
    </row>
    <row r="37" spans="1:15" ht="15" customHeight="1" x14ac:dyDescent="0.25">
      <c r="A37" s="4"/>
      <c r="B37" s="2041" t="s">
        <v>2528</v>
      </c>
      <c r="C37" s="2042"/>
      <c r="D37" s="2042"/>
      <c r="E37" s="2042"/>
      <c r="F37" s="2043"/>
      <c r="G37" s="4"/>
      <c r="H37" s="4"/>
      <c r="I37" s="4"/>
      <c r="J37" s="4"/>
      <c r="K37" s="4"/>
      <c r="L37" s="4"/>
      <c r="N37" s="1295" t="s">
        <v>2583</v>
      </c>
    </row>
    <row r="38" spans="1:15" ht="15" x14ac:dyDescent="0.25">
      <c r="A38" s="4"/>
      <c r="B38" s="2044" t="s">
        <v>2035</v>
      </c>
      <c r="C38" s="2045"/>
      <c r="D38" s="2045"/>
      <c r="E38" s="2045"/>
      <c r="F38" s="2046"/>
      <c r="G38" s="4"/>
      <c r="H38" s="4"/>
      <c r="I38" s="4"/>
      <c r="J38" s="4"/>
      <c r="K38" s="4"/>
      <c r="L38" s="4"/>
      <c r="N38" s="1295" t="s">
        <v>2584</v>
      </c>
    </row>
    <row r="39" spans="1:15" ht="18" customHeight="1" x14ac:dyDescent="0.25">
      <c r="A39" s="4"/>
      <c r="B39" s="4"/>
      <c r="C39" s="4"/>
      <c r="D39" s="4"/>
      <c r="E39" s="4"/>
      <c r="F39" s="4"/>
      <c r="G39" s="4"/>
      <c r="H39" s="4"/>
      <c r="I39" s="4"/>
      <c r="J39" s="4"/>
      <c r="K39" s="4"/>
      <c r="L39" s="4"/>
      <c r="N39" s="1295" t="s">
        <v>322</v>
      </c>
    </row>
    <row r="40" spans="1:15" ht="15" x14ac:dyDescent="0.25">
      <c r="A40" s="4"/>
      <c r="B40" s="2009" t="s">
        <v>2529</v>
      </c>
      <c r="C40" s="2010"/>
      <c r="D40" s="2010"/>
      <c r="E40" s="2010"/>
      <c r="F40" s="2011"/>
      <c r="G40" s="4"/>
      <c r="H40" s="4"/>
      <c r="I40" s="4"/>
      <c r="J40" s="4"/>
      <c r="K40" s="4"/>
      <c r="L40" s="4"/>
      <c r="N40" s="1295" t="s">
        <v>2541</v>
      </c>
    </row>
    <row r="41" spans="1:15" ht="15" x14ac:dyDescent="0.25">
      <c r="A41" s="4"/>
      <c r="B41" s="2041" t="s">
        <v>2530</v>
      </c>
      <c r="C41" s="2042"/>
      <c r="D41" s="2042"/>
      <c r="E41" s="2042"/>
      <c r="F41" s="2043"/>
      <c r="G41" s="4"/>
      <c r="H41" s="4"/>
      <c r="I41" s="4"/>
      <c r="J41" s="4"/>
      <c r="K41" s="4"/>
      <c r="L41" s="4"/>
      <c r="N41" s="1298" t="s">
        <v>2598</v>
      </c>
    </row>
    <row r="42" spans="1:15" ht="15" x14ac:dyDescent="0.25">
      <c r="A42" s="4"/>
      <c r="B42" s="2041" t="s">
        <v>2531</v>
      </c>
      <c r="C42" s="2042"/>
      <c r="D42" s="2042"/>
      <c r="E42" s="2042"/>
      <c r="F42" s="2043"/>
      <c r="G42" s="4"/>
      <c r="H42" s="4"/>
      <c r="I42" s="4"/>
      <c r="J42" s="4"/>
      <c r="K42" s="4"/>
      <c r="L42" s="4"/>
      <c r="N42" s="1298" t="s">
        <v>2599</v>
      </c>
    </row>
    <row r="43" spans="1:15" ht="15" x14ac:dyDescent="0.25">
      <c r="A43" s="4"/>
      <c r="B43" s="2041" t="s">
        <v>2532</v>
      </c>
      <c r="C43" s="2042"/>
      <c r="D43" s="2042"/>
      <c r="E43" s="2042"/>
      <c r="F43" s="2043"/>
      <c r="G43" s="4"/>
      <c r="H43" s="4"/>
      <c r="I43" s="4"/>
      <c r="J43" s="4"/>
      <c r="K43" s="4"/>
      <c r="L43" s="4"/>
      <c r="N43" s="1298" t="s">
        <v>2600</v>
      </c>
    </row>
    <row r="44" spans="1:15" ht="15" x14ac:dyDescent="0.25">
      <c r="A44" s="4"/>
      <c r="B44" s="2041" t="s">
        <v>2533</v>
      </c>
      <c r="C44" s="2042"/>
      <c r="D44" s="2042"/>
      <c r="E44" s="2042"/>
      <c r="F44" s="2043"/>
      <c r="G44" s="4"/>
      <c r="H44" s="4"/>
      <c r="I44" s="4"/>
      <c r="J44" s="4"/>
      <c r="K44" s="4"/>
      <c r="L44" s="4"/>
      <c r="N44" s="1298" t="s">
        <v>2601</v>
      </c>
    </row>
    <row r="45" spans="1:15" ht="15" customHeight="1" x14ac:dyDescent="0.25">
      <c r="A45" s="4"/>
      <c r="B45" s="2041" t="s">
        <v>2534</v>
      </c>
      <c r="C45" s="2042"/>
      <c r="D45" s="2042"/>
      <c r="E45" s="2042"/>
      <c r="F45" s="2043"/>
      <c r="G45" s="4"/>
      <c r="H45" s="4"/>
      <c r="I45" s="4"/>
      <c r="J45" s="4"/>
      <c r="K45" s="4"/>
      <c r="L45" s="4"/>
      <c r="N45" s="1298" t="s">
        <v>2594</v>
      </c>
    </row>
    <row r="46" spans="1:15" ht="15" customHeight="1" x14ac:dyDescent="0.25">
      <c r="A46" s="4"/>
      <c r="B46" s="2041" t="s">
        <v>1796</v>
      </c>
      <c r="C46" s="2042"/>
      <c r="D46" s="2042"/>
      <c r="E46" s="2042"/>
      <c r="F46" s="2043"/>
      <c r="G46" s="4"/>
      <c r="H46" s="4"/>
      <c r="I46" s="4"/>
      <c r="J46" s="4"/>
      <c r="K46" s="4"/>
      <c r="L46" s="4"/>
      <c r="N46" s="1298" t="s">
        <v>2034</v>
      </c>
    </row>
    <row r="47" spans="1:15" ht="15" customHeight="1" x14ac:dyDescent="0.25">
      <c r="A47" s="4"/>
      <c r="B47" s="2041" t="s">
        <v>1798</v>
      </c>
      <c r="C47" s="2042"/>
      <c r="D47" s="2042"/>
      <c r="E47" s="2042"/>
      <c r="F47" s="2043"/>
      <c r="G47" s="4"/>
      <c r="H47" s="4"/>
      <c r="I47" s="4"/>
      <c r="J47" s="4"/>
      <c r="K47" s="4"/>
      <c r="L47" s="4"/>
    </row>
    <row r="48" spans="1:15" ht="15" customHeight="1" x14ac:dyDescent="0.25">
      <c r="A48" s="4"/>
      <c r="B48" s="2044" t="s">
        <v>2535</v>
      </c>
      <c r="C48" s="2045"/>
      <c r="D48" s="2045"/>
      <c r="E48" s="2045"/>
      <c r="F48" s="2046"/>
      <c r="G48" s="4"/>
      <c r="H48" s="4"/>
      <c r="I48" s="4"/>
      <c r="J48" s="4"/>
      <c r="K48" s="4"/>
      <c r="L48" s="4"/>
      <c r="N48" s="1295" t="s">
        <v>53</v>
      </c>
      <c r="O48">
        <v>0</v>
      </c>
    </row>
    <row r="49" spans="1:15" ht="18" customHeight="1" thickBot="1" x14ac:dyDescent="0.3">
      <c r="A49" s="4"/>
      <c r="B49" s="4"/>
      <c r="C49" s="4"/>
      <c r="D49" s="4"/>
      <c r="E49" s="4"/>
      <c r="F49" s="4"/>
      <c r="G49" s="4"/>
      <c r="H49" s="4"/>
      <c r="I49" s="4"/>
      <c r="J49" s="4"/>
      <c r="K49" s="4"/>
      <c r="L49" s="4"/>
      <c r="N49" s="35" t="s">
        <v>2585</v>
      </c>
      <c r="O49" s="1296">
        <v>0.1</v>
      </c>
    </row>
    <row r="50" spans="1:15" ht="18" customHeight="1" thickBot="1" x14ac:dyDescent="0.3">
      <c r="A50" s="2008" t="s">
        <v>6</v>
      </c>
      <c r="B50" s="2008"/>
      <c r="C50" s="2008"/>
      <c r="D50" s="2008"/>
      <c r="E50" s="2008"/>
      <c r="F50" s="2008"/>
      <c r="G50" s="2008"/>
      <c r="H50" s="2008"/>
      <c r="I50" s="2008"/>
      <c r="J50" s="2008"/>
      <c r="K50" s="2008"/>
      <c r="L50" s="2008"/>
      <c r="N50" s="35" t="s">
        <v>2551</v>
      </c>
      <c r="O50" s="1296">
        <v>0.3</v>
      </c>
    </row>
    <row r="51" spans="1:15" ht="15" customHeight="1" thickBot="1" x14ac:dyDescent="0.3">
      <c r="A51" s="4"/>
      <c r="B51" s="4"/>
      <c r="C51" s="4"/>
      <c r="D51" s="4"/>
      <c r="E51" s="4"/>
      <c r="F51" s="4"/>
      <c r="G51" s="4"/>
      <c r="H51" s="4"/>
      <c r="I51" s="4"/>
      <c r="J51" s="4"/>
      <c r="K51" s="4"/>
      <c r="L51" s="4"/>
      <c r="N51" s="35" t="s">
        <v>2586</v>
      </c>
      <c r="O51" s="1296">
        <v>0.1</v>
      </c>
    </row>
    <row r="52" spans="1:15" ht="15" customHeight="1" thickBot="1" x14ac:dyDescent="0.3">
      <c r="A52" s="4"/>
      <c r="B52" s="558" t="s">
        <v>768</v>
      </c>
      <c r="C52" s="4"/>
      <c r="D52" s="4"/>
      <c r="E52" s="4"/>
      <c r="F52" s="4"/>
      <c r="G52" s="4"/>
      <c r="H52" s="4"/>
      <c r="I52" s="4"/>
      <c r="J52" s="4"/>
      <c r="K52" s="4"/>
      <c r="L52" s="4"/>
      <c r="N52" s="35" t="s">
        <v>2588</v>
      </c>
      <c r="O52" s="1296">
        <v>0.3</v>
      </c>
    </row>
    <row r="53" spans="1:15" ht="15" customHeight="1" thickBot="1" x14ac:dyDescent="0.3">
      <c r="A53" s="4"/>
      <c r="B53" s="558" t="s">
        <v>2537</v>
      </c>
      <c r="C53" s="4"/>
      <c r="D53" s="4"/>
      <c r="E53" s="4"/>
      <c r="F53" s="4"/>
      <c r="G53" s="4"/>
      <c r="H53" s="4"/>
      <c r="I53" s="4"/>
      <c r="J53" s="4"/>
      <c r="K53" s="4"/>
      <c r="L53" s="4"/>
      <c r="N53" s="35" t="s">
        <v>2617</v>
      </c>
      <c r="O53" s="1296">
        <v>0.2</v>
      </c>
    </row>
    <row r="54" spans="1:15" ht="15" customHeight="1" thickBot="1" x14ac:dyDescent="0.3">
      <c r="A54" s="4"/>
      <c r="B54" s="558" t="s">
        <v>2536</v>
      </c>
      <c r="C54" s="4"/>
      <c r="D54" s="4"/>
      <c r="E54" s="4"/>
      <c r="F54" s="4"/>
      <c r="G54" s="4"/>
      <c r="H54" s="4"/>
      <c r="I54" s="4"/>
      <c r="J54" s="4"/>
      <c r="K54" s="4"/>
      <c r="L54" s="4"/>
      <c r="N54" s="35" t="s">
        <v>2587</v>
      </c>
      <c r="O54" s="1296">
        <v>0.2</v>
      </c>
    </row>
    <row r="55" spans="1:15" ht="15.75" thickBot="1" x14ac:dyDescent="0.3">
      <c r="A55" s="4"/>
      <c r="B55" s="558"/>
      <c r="C55" s="4"/>
      <c r="D55" s="4"/>
      <c r="E55" s="4"/>
      <c r="F55" s="4"/>
      <c r="G55" s="4"/>
      <c r="H55" s="4"/>
      <c r="I55" s="4"/>
      <c r="J55" s="4"/>
      <c r="K55" s="4"/>
      <c r="L55" s="4"/>
      <c r="N55" s="35" t="s">
        <v>2589</v>
      </c>
      <c r="O55" s="1296">
        <v>0.3</v>
      </c>
    </row>
    <row r="56" spans="1:15" ht="15.75" thickBot="1" x14ac:dyDescent="0.3">
      <c r="A56" s="4"/>
      <c r="B56" s="2034" t="s">
        <v>2546</v>
      </c>
      <c r="C56" s="2034"/>
      <c r="D56" s="2035"/>
      <c r="E56" s="4"/>
      <c r="F56" s="4"/>
      <c r="G56" s="2034" t="s">
        <v>2547</v>
      </c>
      <c r="H56" s="2034"/>
      <c r="I56" s="2034"/>
      <c r="J56" s="2034"/>
      <c r="K56" s="1289"/>
      <c r="L56" s="4"/>
      <c r="N56" s="35" t="s">
        <v>2590</v>
      </c>
      <c r="O56" s="1296">
        <v>0.5</v>
      </c>
    </row>
    <row r="57" spans="1:15" ht="24" customHeight="1" x14ac:dyDescent="0.25">
      <c r="A57" s="4"/>
      <c r="B57" s="2013" t="s">
        <v>2538</v>
      </c>
      <c r="C57" s="2014"/>
      <c r="D57" s="2013" t="s">
        <v>2539</v>
      </c>
      <c r="E57" s="2015"/>
      <c r="F57" s="4"/>
      <c r="G57" s="2013" t="s">
        <v>2548</v>
      </c>
      <c r="H57" s="2014"/>
      <c r="I57" s="2013" t="s">
        <v>2549</v>
      </c>
      <c r="J57" s="2015"/>
      <c r="K57" s="4"/>
      <c r="L57" s="4"/>
    </row>
    <row r="58" spans="1:15" ht="24" customHeight="1" x14ac:dyDescent="0.25">
      <c r="A58" s="4"/>
      <c r="B58" s="2012" t="s">
        <v>769</v>
      </c>
      <c r="C58" s="2012"/>
      <c r="D58" s="2020">
        <v>1</v>
      </c>
      <c r="E58" s="2019"/>
      <c r="F58" s="4"/>
      <c r="G58" s="2012" t="s">
        <v>2550</v>
      </c>
      <c r="H58" s="2012"/>
      <c r="I58" s="2016">
        <v>0.1</v>
      </c>
      <c r="J58" s="2017"/>
      <c r="K58" s="4"/>
      <c r="L58" s="4"/>
    </row>
    <row r="59" spans="1:15" ht="24" customHeight="1" x14ac:dyDescent="0.25">
      <c r="A59" s="4"/>
      <c r="B59" s="2012" t="s">
        <v>319</v>
      </c>
      <c r="C59" s="2012"/>
      <c r="D59" s="2018" t="s">
        <v>320</v>
      </c>
      <c r="E59" s="2019"/>
      <c r="F59" s="4"/>
      <c r="G59" s="2012" t="s">
        <v>2551</v>
      </c>
      <c r="H59" s="2012"/>
      <c r="I59" s="2016">
        <v>0.3</v>
      </c>
      <c r="J59" s="2017"/>
      <c r="K59" s="4"/>
      <c r="L59" s="4"/>
    </row>
    <row r="60" spans="1:15" ht="27" customHeight="1" x14ac:dyDescent="0.25">
      <c r="A60" s="4"/>
      <c r="B60" s="2012" t="s">
        <v>321</v>
      </c>
      <c r="C60" s="2012"/>
      <c r="D60" s="2018" t="s">
        <v>2540</v>
      </c>
      <c r="E60" s="2019"/>
      <c r="F60" s="4"/>
      <c r="G60" s="2012" t="s">
        <v>2552</v>
      </c>
      <c r="H60" s="2012"/>
      <c r="I60" s="2016">
        <v>0.1</v>
      </c>
      <c r="J60" s="2017"/>
      <c r="K60" s="4"/>
      <c r="L60" s="4"/>
    </row>
    <row r="61" spans="1:15" ht="24" customHeight="1" x14ac:dyDescent="0.25">
      <c r="A61" s="4"/>
      <c r="B61" s="2012" t="s">
        <v>322</v>
      </c>
      <c r="C61" s="2012"/>
      <c r="D61" s="2018" t="s">
        <v>773</v>
      </c>
      <c r="E61" s="2019"/>
      <c r="F61" s="4"/>
      <c r="G61" s="2012" t="s">
        <v>2553</v>
      </c>
      <c r="H61" s="2012"/>
      <c r="I61" s="2016">
        <v>0.3</v>
      </c>
      <c r="J61" s="2017"/>
      <c r="K61" s="4"/>
      <c r="L61" s="4"/>
    </row>
    <row r="62" spans="1:15" ht="24" customHeight="1" x14ac:dyDescent="0.25">
      <c r="A62" s="4"/>
      <c r="B62" s="2012" t="s">
        <v>2541</v>
      </c>
      <c r="C62" s="2012"/>
      <c r="D62" s="2018" t="s">
        <v>2542</v>
      </c>
      <c r="E62" s="2019"/>
      <c r="F62" s="4"/>
      <c r="G62" s="2012" t="s">
        <v>2033</v>
      </c>
      <c r="H62" s="2012"/>
      <c r="I62" s="2016">
        <v>0.2</v>
      </c>
      <c r="J62" s="2017"/>
      <c r="K62" s="4"/>
      <c r="L62" s="4"/>
    </row>
    <row r="63" spans="1:15" ht="27" customHeight="1" x14ac:dyDescent="0.25">
      <c r="A63" s="4"/>
      <c r="B63" s="2030" t="s">
        <v>2543</v>
      </c>
      <c r="C63" s="2031"/>
      <c r="D63" s="2030" t="s">
        <v>2545</v>
      </c>
      <c r="E63" s="2031"/>
      <c r="F63" s="4"/>
      <c r="G63" s="2012" t="s">
        <v>2554</v>
      </c>
      <c r="H63" s="2012"/>
      <c r="I63" s="2016">
        <v>0.2</v>
      </c>
      <c r="J63" s="2017"/>
      <c r="K63" s="4"/>
      <c r="L63" s="4"/>
    </row>
    <row r="64" spans="1:15" ht="27" customHeight="1" x14ac:dyDescent="0.25">
      <c r="A64" s="4"/>
      <c r="B64" s="2032"/>
      <c r="C64" s="2033"/>
      <c r="D64" s="2032"/>
      <c r="E64" s="2033"/>
      <c r="F64" s="4"/>
      <c r="G64" s="2012" t="s">
        <v>2555</v>
      </c>
      <c r="H64" s="2012"/>
      <c r="I64" s="2016">
        <v>0.3</v>
      </c>
      <c r="J64" s="2017"/>
      <c r="K64" s="4"/>
      <c r="L64" s="4"/>
    </row>
    <row r="65" spans="1:15" ht="24" customHeight="1" x14ac:dyDescent="0.25">
      <c r="A65" s="4"/>
      <c r="B65" s="2012" t="s">
        <v>2544</v>
      </c>
      <c r="C65" s="2012"/>
      <c r="D65" s="2020">
        <v>0.2</v>
      </c>
      <c r="E65" s="2019"/>
      <c r="F65" s="4"/>
      <c r="G65" s="2012" t="s">
        <v>2556</v>
      </c>
      <c r="H65" s="2012"/>
      <c r="I65" s="2016">
        <v>0.5</v>
      </c>
      <c r="J65" s="2017"/>
      <c r="K65" s="4"/>
      <c r="L65" s="4"/>
    </row>
    <row r="66" spans="1:15" ht="15" x14ac:dyDescent="0.25">
      <c r="A66" s="4"/>
      <c r="B66" s="4"/>
      <c r="C66" s="4"/>
      <c r="D66" s="4"/>
      <c r="E66" s="4"/>
      <c r="F66" s="4"/>
      <c r="G66" s="4"/>
      <c r="H66" s="4"/>
      <c r="I66" s="4"/>
      <c r="J66" s="4"/>
      <c r="K66" s="4"/>
      <c r="L66" s="4"/>
    </row>
    <row r="67" spans="1:15" ht="25.5" customHeight="1" x14ac:dyDescent="0.25">
      <c r="A67" s="4"/>
      <c r="B67" s="2021" t="s">
        <v>2591</v>
      </c>
      <c r="C67" s="2021"/>
      <c r="D67" s="2021"/>
      <c r="E67" s="2021"/>
      <c r="F67" s="2021"/>
      <c r="G67" s="2021"/>
      <c r="H67" s="2021"/>
      <c r="I67" s="2021"/>
      <c r="J67" s="4"/>
      <c r="K67" s="4"/>
      <c r="L67" s="4"/>
    </row>
    <row r="68" spans="1:15" ht="12" customHeight="1" x14ac:dyDescent="0.25">
      <c r="A68" s="4"/>
      <c r="B68" s="4"/>
      <c r="C68" s="4"/>
      <c r="D68" s="4"/>
      <c r="E68" s="4"/>
      <c r="F68" s="4"/>
      <c r="G68" s="4"/>
      <c r="H68" s="4"/>
      <c r="I68" s="4"/>
      <c r="J68" s="4"/>
      <c r="K68" s="4"/>
      <c r="L68" s="4"/>
    </row>
    <row r="69" spans="1:15" ht="28.5" customHeight="1" x14ac:dyDescent="0.25">
      <c r="A69" s="4"/>
      <c r="B69" s="257" t="s">
        <v>2581</v>
      </c>
      <c r="C69" s="258" t="s">
        <v>2580</v>
      </c>
      <c r="D69" s="2028" t="s">
        <v>2579</v>
      </c>
      <c r="E69" s="2028"/>
      <c r="F69" s="258" t="s">
        <v>774</v>
      </c>
      <c r="G69" s="258" t="s">
        <v>2612</v>
      </c>
      <c r="H69" s="258" t="s">
        <v>765</v>
      </c>
      <c r="I69" s="2028" t="s">
        <v>12</v>
      </c>
      <c r="J69" s="2028"/>
      <c r="K69" s="2029"/>
      <c r="L69" s="4"/>
      <c r="M69" s="1183"/>
    </row>
    <row r="70" spans="1:15" ht="15" x14ac:dyDescent="0.25">
      <c r="A70" s="4"/>
      <c r="B70" s="1994"/>
      <c r="C70" s="2022"/>
      <c r="D70" s="1994" t="s">
        <v>53</v>
      </c>
      <c r="E70" s="2000"/>
      <c r="F70" s="1285" t="s">
        <v>53</v>
      </c>
      <c r="G70" s="1997">
        <f>N70*(MIN(1,0.5+SUM(O70:O72)))</f>
        <v>0</v>
      </c>
      <c r="H70" s="2025">
        <f>IF(R70=1,MIN(C70*(G70*Q70+G71*Q71+G72*Q72)),MIN(C70,C70*(G70+G71+G72)))</f>
        <v>0</v>
      </c>
      <c r="I70" s="1634"/>
      <c r="J70" s="1634"/>
      <c r="K70" s="1634"/>
      <c r="L70" s="4"/>
      <c r="M70" s="1992">
        <f>IF(OR(D70=$N$40,D70=$N$39,D70=$N$37,D70=$N$38),1,0)</f>
        <v>0</v>
      </c>
      <c r="N70" s="1992">
        <f>IF(D70=$N$36,1,IF(OR(D70=$N$37,D70=$N$38,D70=$N$39),E70,IF(D70=$N$40,0.5*E70,IF(D70=$N$41,1,IF(D70=$N$42,0.8,IF(D70=$N$43,0.6,IF(D70=$N$44,0.4,IF(D70=$N$45,0.2,0))))))))</f>
        <v>0</v>
      </c>
      <c r="O70" s="35">
        <f t="shared" ref="O70:O114" si="0">VLOOKUP(F70,$N$48:$O$56,2,0)</f>
        <v>0</v>
      </c>
    </row>
    <row r="71" spans="1:15" ht="15" x14ac:dyDescent="0.25">
      <c r="A71" s="4"/>
      <c r="B71" s="1995"/>
      <c r="C71" s="2023"/>
      <c r="D71" s="1995"/>
      <c r="E71" s="2001"/>
      <c r="F71" s="1286" t="s">
        <v>53</v>
      </c>
      <c r="G71" s="1998"/>
      <c r="H71" s="2026"/>
      <c r="I71" s="1634"/>
      <c r="J71" s="1634"/>
      <c r="K71" s="1634"/>
      <c r="L71" s="4"/>
      <c r="M71" s="1992"/>
      <c r="N71" s="1992"/>
      <c r="O71" s="35">
        <f t="shared" si="0"/>
        <v>0</v>
      </c>
    </row>
    <row r="72" spans="1:15" ht="15.75" thickBot="1" x14ac:dyDescent="0.3">
      <c r="A72" s="4"/>
      <c r="B72" s="1996"/>
      <c r="C72" s="2024"/>
      <c r="D72" s="1996"/>
      <c r="E72" s="2002"/>
      <c r="F72" s="1290" t="s">
        <v>53</v>
      </c>
      <c r="G72" s="1999"/>
      <c r="H72" s="2027"/>
      <c r="I72" s="1993"/>
      <c r="J72" s="1993"/>
      <c r="K72" s="1993"/>
      <c r="L72" s="4"/>
      <c r="M72" s="1992"/>
      <c r="N72" s="1992"/>
      <c r="O72" s="35">
        <f t="shared" si="0"/>
        <v>0</v>
      </c>
    </row>
    <row r="73" spans="1:15" ht="15" x14ac:dyDescent="0.25">
      <c r="A73" s="4"/>
      <c r="B73" s="1994"/>
      <c r="C73" s="2022"/>
      <c r="D73" s="1994" t="s">
        <v>53</v>
      </c>
      <c r="E73" s="2000"/>
      <c r="F73" s="1287" t="s">
        <v>53</v>
      </c>
      <c r="G73" s="1997">
        <f>N73*(MIN(1,0.5+SUM(O73:O75)))</f>
        <v>0</v>
      </c>
      <c r="H73" s="2025">
        <f>IF(R73=1,MIN(C73*(G73*Q73+G74*Q74+G75*Q75)),MIN(C73,C73*(G73+G74+G75)))</f>
        <v>0</v>
      </c>
      <c r="I73" s="1634"/>
      <c r="J73" s="1634"/>
      <c r="K73" s="1634"/>
      <c r="L73" s="4"/>
      <c r="M73" s="1992">
        <f>IF(OR(D73=$N$40,D73=$N$39,D73=$N$37,D73=$N$38),1,0)</f>
        <v>0</v>
      </c>
      <c r="N73" s="1992">
        <f t="shared" ref="N73" si="1">IF(D73=$N$36,1,IF(OR(D73=$N$37,D73=$N$38,D73=$N$39),E73,IF(D73=$N$40,0.5*E73,IF(D73=$N$41,1,IF(D73=$N$42,0.8,IF(D73=$N$43,0.6,IF(D73=$N$44,0.4,IF(D73=$N$45,0.2,0))))))))</f>
        <v>0</v>
      </c>
      <c r="O73" s="35">
        <f t="shared" si="0"/>
        <v>0</v>
      </c>
    </row>
    <row r="74" spans="1:15" ht="15" x14ac:dyDescent="0.25">
      <c r="A74" s="4"/>
      <c r="B74" s="1995"/>
      <c r="C74" s="2023"/>
      <c r="D74" s="1995"/>
      <c r="E74" s="2001"/>
      <c r="F74" s="1285" t="s">
        <v>53</v>
      </c>
      <c r="G74" s="1998"/>
      <c r="H74" s="2026"/>
      <c r="I74" s="1634"/>
      <c r="J74" s="1634"/>
      <c r="K74" s="1634"/>
      <c r="L74" s="4"/>
      <c r="M74" s="1992"/>
      <c r="N74" s="1992"/>
      <c r="O74" s="35">
        <f t="shared" si="0"/>
        <v>0</v>
      </c>
    </row>
    <row r="75" spans="1:15" ht="15.75" thickBot="1" x14ac:dyDescent="0.3">
      <c r="A75" s="4"/>
      <c r="B75" s="1996"/>
      <c r="C75" s="2024"/>
      <c r="D75" s="1996"/>
      <c r="E75" s="2002"/>
      <c r="F75" s="1290" t="s">
        <v>53</v>
      </c>
      <c r="G75" s="1999"/>
      <c r="H75" s="2027"/>
      <c r="I75" s="1993"/>
      <c r="J75" s="1993"/>
      <c r="K75" s="1993"/>
      <c r="L75" s="4"/>
      <c r="M75" s="1992"/>
      <c r="N75" s="1992"/>
      <c r="O75" s="35">
        <f t="shared" si="0"/>
        <v>0</v>
      </c>
    </row>
    <row r="76" spans="1:15" ht="15" x14ac:dyDescent="0.25">
      <c r="A76" s="4"/>
      <c r="B76" s="1994"/>
      <c r="C76" s="2022"/>
      <c r="D76" s="1994" t="s">
        <v>53</v>
      </c>
      <c r="E76" s="2000"/>
      <c r="F76" s="1287" t="s">
        <v>53</v>
      </c>
      <c r="G76" s="1997">
        <f>N76*(MIN(1,0.5+SUM(O76:O78)))</f>
        <v>0</v>
      </c>
      <c r="H76" s="2025">
        <f>IF(R76=1,MIN(C76*(G76*Q76+G77*Q77+G78*Q78)),MIN(C76,C76*(G76+G77+G78)))</f>
        <v>0</v>
      </c>
      <c r="I76" s="1634"/>
      <c r="J76" s="1634"/>
      <c r="K76" s="1634"/>
      <c r="L76" s="4"/>
      <c r="M76" s="1992">
        <f t="shared" ref="M76" si="2">IF(OR(D76=$N$40,D76=$N$39,D76=$N$37,D76=$N$38),1,0)</f>
        <v>0</v>
      </c>
      <c r="N76" s="1992">
        <f t="shared" ref="N76" si="3">IF(D76=$N$36,1,IF(OR(D76=$N$37,D76=$N$38,D76=$N$39),E76,IF(D76=$N$40,0.5*E76,IF(D76=$N$41,1,IF(D76=$N$42,0.8,IF(D76=$N$43,0.6,IF(D76=$N$44,0.4,IF(D76=$N$45,0.2,0))))))))</f>
        <v>0</v>
      </c>
      <c r="O76" s="35">
        <f t="shared" si="0"/>
        <v>0</v>
      </c>
    </row>
    <row r="77" spans="1:15" ht="15" x14ac:dyDescent="0.25">
      <c r="A77" s="4"/>
      <c r="B77" s="1995"/>
      <c r="C77" s="2023"/>
      <c r="D77" s="1995"/>
      <c r="E77" s="2001"/>
      <c r="F77" s="1288" t="s">
        <v>53</v>
      </c>
      <c r="G77" s="1998"/>
      <c r="H77" s="2026"/>
      <c r="I77" s="1634"/>
      <c r="J77" s="1634"/>
      <c r="K77" s="1634"/>
      <c r="L77" s="4"/>
      <c r="M77" s="1992"/>
      <c r="N77" s="1992"/>
      <c r="O77" s="35">
        <f t="shared" si="0"/>
        <v>0</v>
      </c>
    </row>
    <row r="78" spans="1:15" ht="15.75" thickBot="1" x14ac:dyDescent="0.3">
      <c r="A78" s="4"/>
      <c r="B78" s="1996"/>
      <c r="C78" s="2024"/>
      <c r="D78" s="1996"/>
      <c r="E78" s="2002"/>
      <c r="F78" s="1184" t="s">
        <v>53</v>
      </c>
      <c r="G78" s="1999"/>
      <c r="H78" s="2027"/>
      <c r="I78" s="1993"/>
      <c r="J78" s="1993"/>
      <c r="K78" s="1993"/>
      <c r="L78" s="4"/>
      <c r="M78" s="1992"/>
      <c r="N78" s="1992"/>
      <c r="O78" s="35">
        <f t="shared" si="0"/>
        <v>0</v>
      </c>
    </row>
    <row r="79" spans="1:15" ht="15" x14ac:dyDescent="0.25">
      <c r="A79" s="4"/>
      <c r="B79" s="1994"/>
      <c r="C79" s="2022"/>
      <c r="D79" s="1994" t="s">
        <v>53</v>
      </c>
      <c r="E79" s="2000"/>
      <c r="F79" s="1287" t="s">
        <v>53</v>
      </c>
      <c r="G79" s="1997">
        <f>N79*(MIN(1,0.5+SUM(O79:O81)))</f>
        <v>0</v>
      </c>
      <c r="H79" s="2025">
        <f>IF(R79=1,MIN(C79*(G79*Q79+G80*Q80+G81*Q81)),MIN(C79,C79*(G79+G80+G81)))</f>
        <v>0</v>
      </c>
      <c r="I79" s="1634"/>
      <c r="J79" s="1634"/>
      <c r="K79" s="1634"/>
      <c r="L79" s="4"/>
      <c r="M79" s="1992">
        <f t="shared" ref="M79" si="4">IF(OR(D79=$N$40,D79=$N$39,D79=$N$37,D79=$N$38),1,0)</f>
        <v>0</v>
      </c>
      <c r="N79" s="1992">
        <f t="shared" ref="N79" si="5">IF(D79=$N$36,1,IF(OR(D79=$N$37,D79=$N$38,D79=$N$39),E79,IF(D79=$N$40,0.5*E79,IF(D79=$N$41,1,IF(D79=$N$42,0.8,IF(D79=$N$43,0.6,IF(D79=$N$44,0.4,IF(D79=$N$45,0.2,0))))))))</f>
        <v>0</v>
      </c>
      <c r="O79" s="35">
        <f t="shared" si="0"/>
        <v>0</v>
      </c>
    </row>
    <row r="80" spans="1:15" ht="15" x14ac:dyDescent="0.25">
      <c r="A80" s="4"/>
      <c r="B80" s="1995"/>
      <c r="C80" s="2023"/>
      <c r="D80" s="1995"/>
      <c r="E80" s="2001"/>
      <c r="F80" s="1288" t="s">
        <v>53</v>
      </c>
      <c r="G80" s="1998"/>
      <c r="H80" s="2026"/>
      <c r="I80" s="1634"/>
      <c r="J80" s="1634"/>
      <c r="K80" s="1634"/>
      <c r="L80" s="4"/>
      <c r="M80" s="1992"/>
      <c r="N80" s="1992"/>
      <c r="O80" s="35">
        <f t="shared" si="0"/>
        <v>0</v>
      </c>
    </row>
    <row r="81" spans="1:15" ht="15.75" thickBot="1" x14ac:dyDescent="0.3">
      <c r="A81" s="4"/>
      <c r="B81" s="1996"/>
      <c r="C81" s="2024"/>
      <c r="D81" s="1996"/>
      <c r="E81" s="2002"/>
      <c r="F81" s="1184" t="s">
        <v>53</v>
      </c>
      <c r="G81" s="1999"/>
      <c r="H81" s="2027"/>
      <c r="I81" s="1993"/>
      <c r="J81" s="1993"/>
      <c r="K81" s="1993"/>
      <c r="L81" s="4"/>
      <c r="M81" s="1992"/>
      <c r="N81" s="1992"/>
      <c r="O81" s="35">
        <f t="shared" si="0"/>
        <v>0</v>
      </c>
    </row>
    <row r="82" spans="1:15" ht="15" x14ac:dyDescent="0.25">
      <c r="A82" s="4"/>
      <c r="B82" s="1994"/>
      <c r="C82" s="2022"/>
      <c r="D82" s="1994" t="s">
        <v>53</v>
      </c>
      <c r="E82" s="2000"/>
      <c r="F82" s="1287" t="s">
        <v>53</v>
      </c>
      <c r="G82" s="1997">
        <f>N82*(MIN(1,0.5+SUM(O82:O84)))</f>
        <v>0</v>
      </c>
      <c r="H82" s="2025">
        <f>IF(R82=1,MIN(C82*(G82*Q82+G83*Q83+G84*Q84)),MIN(C82,C82*(G82+G83+G84)))</f>
        <v>0</v>
      </c>
      <c r="I82" s="1634"/>
      <c r="J82" s="1634"/>
      <c r="K82" s="1634"/>
      <c r="L82" s="4"/>
      <c r="M82" s="1992">
        <f t="shared" ref="M82" si="6">IF(OR(D82=$N$40,D82=$N$39,D82=$N$37,D82=$N$38),1,0)</f>
        <v>0</v>
      </c>
      <c r="N82" s="1992">
        <f t="shared" ref="N82" si="7">IF(D82=$N$36,1,IF(OR(D82=$N$37,D82=$N$38,D82=$N$39),E82,IF(D82=$N$40,0.5*E82,IF(D82=$N$41,1,IF(D82=$N$42,0.8,IF(D82=$N$43,0.6,IF(D82=$N$44,0.4,IF(D82=$N$45,0.2,0))))))))</f>
        <v>0</v>
      </c>
      <c r="O82" s="35">
        <f t="shared" si="0"/>
        <v>0</v>
      </c>
    </row>
    <row r="83" spans="1:15" ht="15" x14ac:dyDescent="0.25">
      <c r="A83" s="4"/>
      <c r="B83" s="1995"/>
      <c r="C83" s="2023"/>
      <c r="D83" s="1995"/>
      <c r="E83" s="2001"/>
      <c r="F83" s="1288" t="s">
        <v>53</v>
      </c>
      <c r="G83" s="1998"/>
      <c r="H83" s="2026"/>
      <c r="I83" s="1634"/>
      <c r="J83" s="1634"/>
      <c r="K83" s="1634"/>
      <c r="L83" s="4"/>
      <c r="M83" s="1992"/>
      <c r="N83" s="1992"/>
      <c r="O83" s="35">
        <f t="shared" si="0"/>
        <v>0</v>
      </c>
    </row>
    <row r="84" spans="1:15" ht="15.75" thickBot="1" x14ac:dyDescent="0.3">
      <c r="A84" s="4"/>
      <c r="B84" s="1996"/>
      <c r="C84" s="2024"/>
      <c r="D84" s="1996"/>
      <c r="E84" s="2002"/>
      <c r="F84" s="1184" t="s">
        <v>53</v>
      </c>
      <c r="G84" s="1999"/>
      <c r="H84" s="2027"/>
      <c r="I84" s="1993"/>
      <c r="J84" s="1993"/>
      <c r="K84" s="1993"/>
      <c r="L84" s="4"/>
      <c r="M84" s="1992"/>
      <c r="N84" s="1992"/>
      <c r="O84" s="35">
        <f t="shared" si="0"/>
        <v>0</v>
      </c>
    </row>
    <row r="85" spans="1:15" ht="15" x14ac:dyDescent="0.25">
      <c r="A85" s="4"/>
      <c r="B85" s="1994"/>
      <c r="C85" s="2022"/>
      <c r="D85" s="1994" t="s">
        <v>53</v>
      </c>
      <c r="E85" s="2000"/>
      <c r="F85" s="1287" t="s">
        <v>53</v>
      </c>
      <c r="G85" s="1997">
        <f>N85*(MIN(1,0.5+SUM(O85:O87)))</f>
        <v>0</v>
      </c>
      <c r="H85" s="2025">
        <f>IF(R85=1,MIN(C85*(G85*Q85+G86*Q86+G87*Q87)),MIN(C85,C85*(G85+G86+G87)))</f>
        <v>0</v>
      </c>
      <c r="I85" s="1634"/>
      <c r="J85" s="1634"/>
      <c r="K85" s="1634"/>
      <c r="L85" s="4"/>
      <c r="M85" s="1992">
        <f t="shared" ref="M85" si="8">IF(OR(D85=$N$40,D85=$N$39,D85=$N$37,D85=$N$38),1,0)</f>
        <v>0</v>
      </c>
      <c r="N85" s="1992">
        <f t="shared" ref="N85" si="9">IF(D85=$N$36,1,IF(OR(D85=$N$37,D85=$N$38,D85=$N$39),E85,IF(D85=$N$40,0.5*E85,IF(D85=$N$41,1,IF(D85=$N$42,0.8,IF(D85=$N$43,0.6,IF(D85=$N$44,0.4,IF(D85=$N$45,0.2,0))))))))</f>
        <v>0</v>
      </c>
      <c r="O85" s="35">
        <f t="shared" si="0"/>
        <v>0</v>
      </c>
    </row>
    <row r="86" spans="1:15" ht="15" x14ac:dyDescent="0.25">
      <c r="A86" s="4"/>
      <c r="B86" s="1995"/>
      <c r="C86" s="2023"/>
      <c r="D86" s="1995"/>
      <c r="E86" s="2001"/>
      <c r="F86" s="1288" t="s">
        <v>53</v>
      </c>
      <c r="G86" s="1998"/>
      <c r="H86" s="2026"/>
      <c r="I86" s="1634"/>
      <c r="J86" s="1634"/>
      <c r="K86" s="1634"/>
      <c r="L86" s="4"/>
      <c r="M86" s="1992"/>
      <c r="N86" s="1992"/>
      <c r="O86" s="35">
        <f t="shared" si="0"/>
        <v>0</v>
      </c>
    </row>
    <row r="87" spans="1:15" ht="15.75" thickBot="1" x14ac:dyDescent="0.3">
      <c r="A87" s="4"/>
      <c r="B87" s="1996"/>
      <c r="C87" s="2024"/>
      <c r="D87" s="1996"/>
      <c r="E87" s="2002"/>
      <c r="F87" s="1184" t="s">
        <v>53</v>
      </c>
      <c r="G87" s="1999"/>
      <c r="H87" s="2027"/>
      <c r="I87" s="1993"/>
      <c r="J87" s="1993"/>
      <c r="K87" s="1993"/>
      <c r="L87" s="4"/>
      <c r="M87" s="1992"/>
      <c r="N87" s="1992"/>
      <c r="O87" s="35">
        <f t="shared" si="0"/>
        <v>0</v>
      </c>
    </row>
    <row r="88" spans="1:15" ht="15" x14ac:dyDescent="0.25">
      <c r="A88" s="4"/>
      <c r="B88" s="1994"/>
      <c r="C88" s="2022"/>
      <c r="D88" s="1994" t="s">
        <v>53</v>
      </c>
      <c r="E88" s="2000"/>
      <c r="F88" s="1287" t="s">
        <v>53</v>
      </c>
      <c r="G88" s="1997">
        <f>N88*(MIN(1,0.5+SUM(O88:O90)))</f>
        <v>0</v>
      </c>
      <c r="H88" s="2025">
        <f>IF(R88=1,MIN(C88*(G88*Q88+G89*Q89+G90*Q90)),MIN(C88,C88*(G88+G89+G90)))</f>
        <v>0</v>
      </c>
      <c r="I88" s="1634"/>
      <c r="J88" s="1634"/>
      <c r="K88" s="1634"/>
      <c r="L88" s="4"/>
      <c r="M88" s="1992">
        <f t="shared" ref="M88" si="10">IF(OR(D88=$N$40,D88=$N$39,D88=$N$37,D88=$N$38),1,0)</f>
        <v>0</v>
      </c>
      <c r="N88" s="1992">
        <f t="shared" ref="N88" si="11">IF(D88=$N$36,1,IF(OR(D88=$N$37,D88=$N$38,D88=$N$39),E88,IF(D88=$N$40,0.5*E88,IF(D88=$N$41,1,IF(D88=$N$42,0.8,IF(D88=$N$43,0.6,IF(D88=$N$44,0.4,IF(D88=$N$45,0.2,0))))))))</f>
        <v>0</v>
      </c>
      <c r="O88" s="35">
        <f t="shared" si="0"/>
        <v>0</v>
      </c>
    </row>
    <row r="89" spans="1:15" ht="15" x14ac:dyDescent="0.25">
      <c r="A89" s="4"/>
      <c r="B89" s="1995"/>
      <c r="C89" s="2023"/>
      <c r="D89" s="1995"/>
      <c r="E89" s="2001"/>
      <c r="F89" s="1288" t="s">
        <v>53</v>
      </c>
      <c r="G89" s="1998"/>
      <c r="H89" s="2026"/>
      <c r="I89" s="1634"/>
      <c r="J89" s="1634"/>
      <c r="K89" s="1634"/>
      <c r="L89" s="4"/>
      <c r="M89" s="1992"/>
      <c r="N89" s="1992"/>
      <c r="O89" s="35">
        <f t="shared" si="0"/>
        <v>0</v>
      </c>
    </row>
    <row r="90" spans="1:15" ht="15.75" thickBot="1" x14ac:dyDescent="0.3">
      <c r="A90" s="4"/>
      <c r="B90" s="1996"/>
      <c r="C90" s="2024"/>
      <c r="D90" s="1996"/>
      <c r="E90" s="2002"/>
      <c r="F90" s="1184" t="s">
        <v>53</v>
      </c>
      <c r="G90" s="1999"/>
      <c r="H90" s="2027"/>
      <c r="I90" s="1993"/>
      <c r="J90" s="1993"/>
      <c r="K90" s="1993"/>
      <c r="L90" s="4"/>
      <c r="M90" s="1992"/>
      <c r="N90" s="1992"/>
      <c r="O90" s="35">
        <f t="shared" si="0"/>
        <v>0</v>
      </c>
    </row>
    <row r="91" spans="1:15" ht="15" x14ac:dyDescent="0.25">
      <c r="A91" s="4"/>
      <c r="B91" s="1994"/>
      <c r="C91" s="2022"/>
      <c r="D91" s="1994" t="s">
        <v>53</v>
      </c>
      <c r="E91" s="2000"/>
      <c r="F91" s="1287" t="s">
        <v>53</v>
      </c>
      <c r="G91" s="1997">
        <f>N91*(MIN(1,0.5+SUM(O91:O93)))</f>
        <v>0</v>
      </c>
      <c r="H91" s="2025">
        <f>IF(R91=1,MIN(C91*(G91*Q91+G92*Q92+G93*Q93)),MIN(C91,C91*(G91+G92+G93)))</f>
        <v>0</v>
      </c>
      <c r="I91" s="1634"/>
      <c r="J91" s="1634"/>
      <c r="K91" s="1634"/>
      <c r="L91" s="4"/>
      <c r="M91" s="1992">
        <f t="shared" ref="M91" si="12">IF(OR(D91=$N$40,D91=$N$39,D91=$N$37,D91=$N$38),1,0)</f>
        <v>0</v>
      </c>
      <c r="N91" s="1992">
        <f t="shared" ref="N91" si="13">IF(D91=$N$36,1,IF(OR(D91=$N$37,D91=$N$38,D91=$N$39),E91,IF(D91=$N$40,0.5*E91,IF(D91=$N$41,1,IF(D91=$N$42,0.8,IF(D91=$N$43,0.6,IF(D91=$N$44,0.4,IF(D91=$N$45,0.2,0))))))))</f>
        <v>0</v>
      </c>
      <c r="O91" s="35">
        <f t="shared" si="0"/>
        <v>0</v>
      </c>
    </row>
    <row r="92" spans="1:15" ht="15" x14ac:dyDescent="0.25">
      <c r="A92" s="4"/>
      <c r="B92" s="1995"/>
      <c r="C92" s="2023"/>
      <c r="D92" s="1995"/>
      <c r="E92" s="2001"/>
      <c r="F92" s="1288" t="s">
        <v>53</v>
      </c>
      <c r="G92" s="1998"/>
      <c r="H92" s="2026"/>
      <c r="I92" s="1634"/>
      <c r="J92" s="1634"/>
      <c r="K92" s="1634"/>
      <c r="L92" s="4"/>
      <c r="M92" s="1992"/>
      <c r="N92" s="1992"/>
      <c r="O92" s="35">
        <f t="shared" si="0"/>
        <v>0</v>
      </c>
    </row>
    <row r="93" spans="1:15" ht="15.75" thickBot="1" x14ac:dyDescent="0.3">
      <c r="A93" s="4"/>
      <c r="B93" s="1996"/>
      <c r="C93" s="2024"/>
      <c r="D93" s="1996"/>
      <c r="E93" s="2002"/>
      <c r="F93" s="1184" t="s">
        <v>53</v>
      </c>
      <c r="G93" s="1999"/>
      <c r="H93" s="2027"/>
      <c r="I93" s="1993"/>
      <c r="J93" s="1993"/>
      <c r="K93" s="1993"/>
      <c r="L93" s="4"/>
      <c r="M93" s="1992"/>
      <c r="N93" s="1992"/>
      <c r="O93" s="35">
        <f t="shared" si="0"/>
        <v>0</v>
      </c>
    </row>
    <row r="94" spans="1:15" ht="15" x14ac:dyDescent="0.25">
      <c r="A94" s="4"/>
      <c r="B94" s="1994"/>
      <c r="C94" s="2022"/>
      <c r="D94" s="1994" t="s">
        <v>53</v>
      </c>
      <c r="E94" s="2000"/>
      <c r="F94" s="1287" t="s">
        <v>53</v>
      </c>
      <c r="G94" s="1997">
        <f>N94*(MIN(1,0.5+SUM(O94:O96)))</f>
        <v>0</v>
      </c>
      <c r="H94" s="2025">
        <f>IF(R94=1,MIN(C94*(G94*Q94+G95*Q95+G96*Q96)),MIN(C94,C94*(G94+G95+G96)))</f>
        <v>0</v>
      </c>
      <c r="I94" s="1634"/>
      <c r="J94" s="1634"/>
      <c r="K94" s="1634"/>
      <c r="L94" s="4"/>
      <c r="M94" s="1992">
        <f t="shared" ref="M94" si="14">IF(OR(D94=$N$40,D94=$N$39,D94=$N$37,D94=$N$38),1,0)</f>
        <v>0</v>
      </c>
      <c r="N94" s="1992">
        <f t="shared" ref="N94" si="15">IF(D94=$N$36,1,IF(OR(D94=$N$37,D94=$N$38,D94=$N$39),E94,IF(D94=$N$40,0.5*E94,IF(D94=$N$41,1,IF(D94=$N$42,0.8,IF(D94=$N$43,0.6,IF(D94=$N$44,0.4,IF(D94=$N$45,0.2,0))))))))</f>
        <v>0</v>
      </c>
      <c r="O94" s="35">
        <f t="shared" si="0"/>
        <v>0</v>
      </c>
    </row>
    <row r="95" spans="1:15" ht="15" x14ac:dyDescent="0.25">
      <c r="A95" s="4"/>
      <c r="B95" s="1995"/>
      <c r="C95" s="2023"/>
      <c r="D95" s="1995"/>
      <c r="E95" s="2001"/>
      <c r="F95" s="1288" t="s">
        <v>53</v>
      </c>
      <c r="G95" s="1998"/>
      <c r="H95" s="2026"/>
      <c r="I95" s="1634"/>
      <c r="J95" s="1634"/>
      <c r="K95" s="1634"/>
      <c r="L95" s="4"/>
      <c r="M95" s="1992"/>
      <c r="N95" s="1992"/>
      <c r="O95" s="35">
        <f t="shared" si="0"/>
        <v>0</v>
      </c>
    </row>
    <row r="96" spans="1:15" ht="15.75" thickBot="1" x14ac:dyDescent="0.3">
      <c r="A96" s="4"/>
      <c r="B96" s="1996"/>
      <c r="C96" s="2024"/>
      <c r="D96" s="1996"/>
      <c r="E96" s="2002"/>
      <c r="F96" s="1184" t="s">
        <v>53</v>
      </c>
      <c r="G96" s="1999"/>
      <c r="H96" s="2027"/>
      <c r="I96" s="1993"/>
      <c r="J96" s="1993"/>
      <c r="K96" s="1993"/>
      <c r="L96" s="4"/>
      <c r="M96" s="1992"/>
      <c r="N96" s="1992"/>
      <c r="O96" s="35">
        <f t="shared" si="0"/>
        <v>0</v>
      </c>
    </row>
    <row r="97" spans="1:15" ht="15" x14ac:dyDescent="0.25">
      <c r="A97" s="4"/>
      <c r="B97" s="1994"/>
      <c r="C97" s="2022"/>
      <c r="D97" s="1994" t="s">
        <v>53</v>
      </c>
      <c r="E97" s="2000"/>
      <c r="F97" s="1287" t="s">
        <v>53</v>
      </c>
      <c r="G97" s="1997">
        <f>N97*(MIN(1,0.5+SUM(O97:O99)))</f>
        <v>0</v>
      </c>
      <c r="H97" s="2025">
        <f>IF(R97=1,MIN(C97*(G97*Q97+G98*Q98+G99*Q99)),MIN(C97,C97*(G97+G98+G99)))</f>
        <v>0</v>
      </c>
      <c r="I97" s="1634"/>
      <c r="J97" s="1634"/>
      <c r="K97" s="1634"/>
      <c r="L97" s="4"/>
      <c r="M97" s="1992">
        <f t="shared" ref="M97" si="16">IF(OR(D97=$N$40,D97=$N$39,D97=$N$37,D97=$N$38),1,0)</f>
        <v>0</v>
      </c>
      <c r="N97" s="1992">
        <f t="shared" ref="N97" si="17">IF(D97=$N$36,1,IF(OR(D97=$N$37,D97=$N$38,D97=$N$39),E97,IF(D97=$N$40,0.5*E97,IF(D97=$N$41,1,IF(D97=$N$42,0.8,IF(D97=$N$43,0.6,IF(D97=$N$44,0.4,IF(D97=$N$45,0.2,0))))))))</f>
        <v>0</v>
      </c>
      <c r="O97" s="35">
        <f t="shared" si="0"/>
        <v>0</v>
      </c>
    </row>
    <row r="98" spans="1:15" ht="15" x14ac:dyDescent="0.25">
      <c r="A98" s="4"/>
      <c r="B98" s="1995"/>
      <c r="C98" s="2023"/>
      <c r="D98" s="1995"/>
      <c r="E98" s="2001"/>
      <c r="F98" s="1288" t="s">
        <v>53</v>
      </c>
      <c r="G98" s="1998"/>
      <c r="H98" s="2026"/>
      <c r="I98" s="1634"/>
      <c r="J98" s="1634"/>
      <c r="K98" s="1634"/>
      <c r="L98" s="4"/>
      <c r="M98" s="1992"/>
      <c r="N98" s="1992"/>
      <c r="O98" s="35">
        <f t="shared" si="0"/>
        <v>0</v>
      </c>
    </row>
    <row r="99" spans="1:15" ht="15.75" thickBot="1" x14ac:dyDescent="0.3">
      <c r="A99" s="4"/>
      <c r="B99" s="1996"/>
      <c r="C99" s="2024"/>
      <c r="D99" s="1996"/>
      <c r="E99" s="2002"/>
      <c r="F99" s="1184" t="s">
        <v>53</v>
      </c>
      <c r="G99" s="1999"/>
      <c r="H99" s="2027"/>
      <c r="I99" s="1993"/>
      <c r="J99" s="1993"/>
      <c r="K99" s="1993"/>
      <c r="L99" s="4"/>
      <c r="M99" s="1992"/>
      <c r="N99" s="1992"/>
      <c r="O99" s="35">
        <f t="shared" si="0"/>
        <v>0</v>
      </c>
    </row>
    <row r="100" spans="1:15" ht="15" x14ac:dyDescent="0.25">
      <c r="A100" s="4"/>
      <c r="B100" s="1994"/>
      <c r="C100" s="2022"/>
      <c r="D100" s="1994" t="s">
        <v>53</v>
      </c>
      <c r="E100" s="2000"/>
      <c r="F100" s="1287" t="s">
        <v>53</v>
      </c>
      <c r="G100" s="1997">
        <f>N100*(MIN(1,0.5+SUM(O100:O102)))</f>
        <v>0</v>
      </c>
      <c r="H100" s="2025">
        <f>IF(R100=1,MIN(C100*(G100*Q100+G101*Q101+G102*Q102)),MIN(C100,C100*(G100+G101+G102)))</f>
        <v>0</v>
      </c>
      <c r="I100" s="1634"/>
      <c r="J100" s="1634"/>
      <c r="K100" s="1634"/>
      <c r="L100" s="4"/>
      <c r="M100" s="1992">
        <f t="shared" ref="M100" si="18">IF(OR(D100=$N$40,D100=$N$39,D100=$N$37,D100=$N$38),1,0)</f>
        <v>0</v>
      </c>
      <c r="N100" s="1992">
        <f t="shared" ref="N100" si="19">IF(D100=$N$36,1,IF(OR(D100=$N$37,D100=$N$38,D100=$N$39),E100,IF(D100=$N$40,0.5*E100,IF(D100=$N$41,1,IF(D100=$N$42,0.8,IF(D100=$N$43,0.6,IF(D100=$N$44,0.4,IF(D100=$N$45,0.2,0))))))))</f>
        <v>0</v>
      </c>
      <c r="O100" s="35">
        <f t="shared" si="0"/>
        <v>0</v>
      </c>
    </row>
    <row r="101" spans="1:15" ht="15" x14ac:dyDescent="0.25">
      <c r="A101" s="4"/>
      <c r="B101" s="1995"/>
      <c r="C101" s="2023"/>
      <c r="D101" s="1995"/>
      <c r="E101" s="2001"/>
      <c r="F101" s="1288" t="s">
        <v>53</v>
      </c>
      <c r="G101" s="1998"/>
      <c r="H101" s="2026"/>
      <c r="I101" s="1634"/>
      <c r="J101" s="1634"/>
      <c r="K101" s="1634"/>
      <c r="L101" s="4"/>
      <c r="M101" s="1992"/>
      <c r="N101" s="1992"/>
      <c r="O101" s="35">
        <f t="shared" si="0"/>
        <v>0</v>
      </c>
    </row>
    <row r="102" spans="1:15" ht="15.75" thickBot="1" x14ac:dyDescent="0.3">
      <c r="A102" s="4"/>
      <c r="B102" s="1996"/>
      <c r="C102" s="2024"/>
      <c r="D102" s="1996"/>
      <c r="E102" s="2002"/>
      <c r="F102" s="1184" t="s">
        <v>53</v>
      </c>
      <c r="G102" s="1999"/>
      <c r="H102" s="2027"/>
      <c r="I102" s="1993"/>
      <c r="J102" s="1993"/>
      <c r="K102" s="1993"/>
      <c r="L102" s="4"/>
      <c r="M102" s="1992"/>
      <c r="N102" s="1992"/>
      <c r="O102" s="35">
        <f t="shared" si="0"/>
        <v>0</v>
      </c>
    </row>
    <row r="103" spans="1:15" ht="15" x14ac:dyDescent="0.25">
      <c r="A103" s="4"/>
      <c r="B103" s="1994"/>
      <c r="C103" s="2022"/>
      <c r="D103" s="1994" t="s">
        <v>53</v>
      </c>
      <c r="E103" s="2000"/>
      <c r="F103" s="1287" t="s">
        <v>53</v>
      </c>
      <c r="G103" s="1997">
        <f>N103*(MIN(1,0.5+SUM(O103:O105)))</f>
        <v>0</v>
      </c>
      <c r="H103" s="2025">
        <f>IF(R103=1,MIN(C103*(G103*Q103+G104*Q104+G105*Q105)),MIN(C103,C103*(G103+G104+G105)))</f>
        <v>0</v>
      </c>
      <c r="I103" s="1634"/>
      <c r="J103" s="1634"/>
      <c r="K103" s="1634"/>
      <c r="L103" s="4"/>
      <c r="M103" s="1992">
        <f t="shared" ref="M103" si="20">IF(OR(D103=$N$40,D103=$N$39,D103=$N$37,D103=$N$38),1,0)</f>
        <v>0</v>
      </c>
      <c r="N103" s="1992">
        <f t="shared" ref="N103" si="21">IF(D103=$N$36,1,IF(OR(D103=$N$37,D103=$N$38,D103=$N$39),E103,IF(D103=$N$40,0.5*E103,IF(D103=$N$41,1,IF(D103=$N$42,0.8,IF(D103=$N$43,0.6,IF(D103=$N$44,0.4,IF(D103=$N$45,0.2,0))))))))</f>
        <v>0</v>
      </c>
      <c r="O103" s="35">
        <f t="shared" si="0"/>
        <v>0</v>
      </c>
    </row>
    <row r="104" spans="1:15" ht="15" x14ac:dyDescent="0.25">
      <c r="A104" s="4"/>
      <c r="B104" s="1995"/>
      <c r="C104" s="2023"/>
      <c r="D104" s="1995"/>
      <c r="E104" s="2001"/>
      <c r="F104" s="1288" t="s">
        <v>53</v>
      </c>
      <c r="G104" s="1998"/>
      <c r="H104" s="2026"/>
      <c r="I104" s="1634"/>
      <c r="J104" s="1634"/>
      <c r="K104" s="1634"/>
      <c r="L104" s="4"/>
      <c r="M104" s="1992"/>
      <c r="N104" s="1992"/>
      <c r="O104" s="35">
        <f t="shared" si="0"/>
        <v>0</v>
      </c>
    </row>
    <row r="105" spans="1:15" ht="15.75" thickBot="1" x14ac:dyDescent="0.3">
      <c r="A105" s="4"/>
      <c r="B105" s="1996"/>
      <c r="C105" s="2024"/>
      <c r="D105" s="1996"/>
      <c r="E105" s="2002"/>
      <c r="F105" s="1184" t="s">
        <v>53</v>
      </c>
      <c r="G105" s="1999"/>
      <c r="H105" s="2027"/>
      <c r="I105" s="1993"/>
      <c r="J105" s="1993"/>
      <c r="K105" s="1993"/>
      <c r="L105" s="4"/>
      <c r="M105" s="1992"/>
      <c r="N105" s="1992"/>
      <c r="O105" s="35">
        <f t="shared" si="0"/>
        <v>0</v>
      </c>
    </row>
    <row r="106" spans="1:15" ht="15" x14ac:dyDescent="0.25">
      <c r="A106" s="4"/>
      <c r="B106" s="1994"/>
      <c r="C106" s="2022"/>
      <c r="D106" s="1994" t="s">
        <v>53</v>
      </c>
      <c r="E106" s="2000"/>
      <c r="F106" s="1287" t="s">
        <v>53</v>
      </c>
      <c r="G106" s="1997">
        <f>N106*(MIN(1,0.5+SUM(O106:O108)))</f>
        <v>0</v>
      </c>
      <c r="H106" s="2025">
        <f>IF(R106=1,MIN(C106*(G106*Q106+G107*Q107+G108*Q108)),MIN(C106,C106*(G106+G107+G108)))</f>
        <v>0</v>
      </c>
      <c r="I106" s="1634"/>
      <c r="J106" s="1634"/>
      <c r="K106" s="1634"/>
      <c r="L106" s="4"/>
      <c r="M106" s="1992">
        <f t="shared" ref="M106" si="22">IF(OR(D106=$N$40,D106=$N$39,D106=$N$37,D106=$N$38),1,0)</f>
        <v>0</v>
      </c>
      <c r="N106" s="1992">
        <f t="shared" ref="N106" si="23">IF(D106=$N$36,1,IF(OR(D106=$N$37,D106=$N$38,D106=$N$39),E106,IF(D106=$N$40,0.5*E106,IF(D106=$N$41,1,IF(D106=$N$42,0.8,IF(D106=$N$43,0.6,IF(D106=$N$44,0.4,IF(D106=$N$45,0.2,0))))))))</f>
        <v>0</v>
      </c>
      <c r="O106" s="35">
        <f t="shared" si="0"/>
        <v>0</v>
      </c>
    </row>
    <row r="107" spans="1:15" ht="15" x14ac:dyDescent="0.25">
      <c r="A107" s="4"/>
      <c r="B107" s="1995"/>
      <c r="C107" s="2023"/>
      <c r="D107" s="1995"/>
      <c r="E107" s="2001"/>
      <c r="F107" s="1288" t="s">
        <v>53</v>
      </c>
      <c r="G107" s="1998"/>
      <c r="H107" s="2026"/>
      <c r="I107" s="1634"/>
      <c r="J107" s="1634"/>
      <c r="K107" s="1634"/>
      <c r="L107" s="4"/>
      <c r="M107" s="1992"/>
      <c r="N107" s="1992"/>
      <c r="O107" s="35">
        <f t="shared" si="0"/>
        <v>0</v>
      </c>
    </row>
    <row r="108" spans="1:15" ht="15.75" thickBot="1" x14ac:dyDescent="0.3">
      <c r="A108" s="4"/>
      <c r="B108" s="1996"/>
      <c r="C108" s="2024"/>
      <c r="D108" s="1996"/>
      <c r="E108" s="2002"/>
      <c r="F108" s="1184" t="s">
        <v>53</v>
      </c>
      <c r="G108" s="1999"/>
      <c r="H108" s="2027"/>
      <c r="I108" s="1993"/>
      <c r="J108" s="1993"/>
      <c r="K108" s="1993"/>
      <c r="L108" s="4"/>
      <c r="M108" s="1992"/>
      <c r="N108" s="1992"/>
      <c r="O108" s="35">
        <f t="shared" si="0"/>
        <v>0</v>
      </c>
    </row>
    <row r="109" spans="1:15" ht="15" x14ac:dyDescent="0.25">
      <c r="A109" s="4"/>
      <c r="B109" s="1994"/>
      <c r="C109" s="2022"/>
      <c r="D109" s="1994" t="s">
        <v>53</v>
      </c>
      <c r="E109" s="2000"/>
      <c r="F109" s="1287" t="s">
        <v>53</v>
      </c>
      <c r="G109" s="1997">
        <f>N109*(MIN(1,0.5+SUM(O109:O111)))</f>
        <v>0</v>
      </c>
      <c r="H109" s="2025">
        <f>IF(R109=1,MIN(C109*(G109*Q109+G110*Q110+G111*Q111)),MIN(C109,C109*(G109+G110+G111)))</f>
        <v>0</v>
      </c>
      <c r="I109" s="1634"/>
      <c r="J109" s="1634"/>
      <c r="K109" s="1634"/>
      <c r="L109" s="4"/>
      <c r="M109" s="1992">
        <f t="shared" ref="M109" si="24">IF(OR(D109=$N$40,D109=$N$39,D109=$N$37,D109=$N$38),1,0)</f>
        <v>0</v>
      </c>
      <c r="N109" s="1992">
        <f t="shared" ref="N109" si="25">IF(D109=$N$36,1,IF(OR(D109=$N$37,D109=$N$38,D109=$N$39),E109,IF(D109=$N$40,0.5*E109,IF(D109=$N$41,1,IF(D109=$N$42,0.8,IF(D109=$N$43,0.6,IF(D109=$N$44,0.4,IF(D109=$N$45,0.2,0))))))))</f>
        <v>0</v>
      </c>
      <c r="O109" s="35">
        <f t="shared" si="0"/>
        <v>0</v>
      </c>
    </row>
    <row r="110" spans="1:15" ht="15" x14ac:dyDescent="0.25">
      <c r="A110" s="4"/>
      <c r="B110" s="1995"/>
      <c r="C110" s="2023"/>
      <c r="D110" s="1995"/>
      <c r="E110" s="2001"/>
      <c r="F110" s="1288" t="s">
        <v>53</v>
      </c>
      <c r="G110" s="1998"/>
      <c r="H110" s="2026"/>
      <c r="I110" s="1634"/>
      <c r="J110" s="1634"/>
      <c r="K110" s="1634"/>
      <c r="L110" s="4"/>
      <c r="M110" s="1992"/>
      <c r="N110" s="1992"/>
      <c r="O110" s="35">
        <f t="shared" si="0"/>
        <v>0</v>
      </c>
    </row>
    <row r="111" spans="1:15" ht="15.75" thickBot="1" x14ac:dyDescent="0.3">
      <c r="A111" s="4"/>
      <c r="B111" s="1996"/>
      <c r="C111" s="2024"/>
      <c r="D111" s="1996"/>
      <c r="E111" s="2002"/>
      <c r="F111" s="1184" t="s">
        <v>53</v>
      </c>
      <c r="G111" s="1999"/>
      <c r="H111" s="2027"/>
      <c r="I111" s="1993"/>
      <c r="J111" s="1993"/>
      <c r="K111" s="1993"/>
      <c r="L111" s="4"/>
      <c r="M111" s="1992"/>
      <c r="N111" s="1992"/>
      <c r="O111" s="35">
        <f t="shared" si="0"/>
        <v>0</v>
      </c>
    </row>
    <row r="112" spans="1:15" ht="15" x14ac:dyDescent="0.25">
      <c r="A112" s="4"/>
      <c r="B112" s="1994"/>
      <c r="C112" s="2022"/>
      <c r="D112" s="1994" t="s">
        <v>53</v>
      </c>
      <c r="E112" s="2000"/>
      <c r="F112" s="1287" t="s">
        <v>53</v>
      </c>
      <c r="G112" s="1997">
        <f>N112*(MIN(1,0.5+SUM(O112:O114)))</f>
        <v>0</v>
      </c>
      <c r="H112" s="2025">
        <f>IF(R112=1,MIN(C112*(G112*Q112+G113*Q113+G114*Q114)),MIN(C112,C112*(G112+G113+G114)))</f>
        <v>0</v>
      </c>
      <c r="I112" s="1634"/>
      <c r="J112" s="1634"/>
      <c r="K112" s="1634"/>
      <c r="L112" s="4"/>
      <c r="M112" s="1992">
        <f t="shared" ref="M112" si="26">IF(OR(D112=$N$40,D112=$N$39,D112=$N$37,D112=$N$38),1,0)</f>
        <v>0</v>
      </c>
      <c r="N112" s="1992">
        <f t="shared" ref="N112" si="27">IF(D112=$N$36,1,IF(OR(D112=$N$37,D112=$N$38,D112=$N$39),E112,IF(D112=$N$40,0.5*E112,IF(D112=$N$41,1,IF(D112=$N$42,0.8,IF(D112=$N$43,0.6,IF(D112=$N$44,0.4,IF(D112=$N$45,0.2,0))))))))</f>
        <v>0</v>
      </c>
      <c r="O112" s="35">
        <f t="shared" si="0"/>
        <v>0</v>
      </c>
    </row>
    <row r="113" spans="1:15" ht="15" x14ac:dyDescent="0.25">
      <c r="A113" s="4"/>
      <c r="B113" s="1995"/>
      <c r="C113" s="2023"/>
      <c r="D113" s="1995"/>
      <c r="E113" s="2001"/>
      <c r="F113" s="1288" t="s">
        <v>53</v>
      </c>
      <c r="G113" s="1998"/>
      <c r="H113" s="2026"/>
      <c r="I113" s="1634"/>
      <c r="J113" s="1634"/>
      <c r="K113" s="1634"/>
      <c r="L113" s="4"/>
      <c r="M113" s="1992"/>
      <c r="N113" s="1992"/>
      <c r="O113" s="35">
        <f t="shared" si="0"/>
        <v>0</v>
      </c>
    </row>
    <row r="114" spans="1:15" ht="15.75" thickBot="1" x14ac:dyDescent="0.3">
      <c r="A114" s="4"/>
      <c r="B114" s="1996"/>
      <c r="C114" s="2024"/>
      <c r="D114" s="1996"/>
      <c r="E114" s="2002"/>
      <c r="F114" s="1184" t="s">
        <v>53</v>
      </c>
      <c r="G114" s="1999"/>
      <c r="H114" s="2027"/>
      <c r="I114" s="1993"/>
      <c r="J114" s="1993"/>
      <c r="K114" s="1993"/>
      <c r="L114" s="4"/>
      <c r="M114" s="1992"/>
      <c r="N114" s="1992"/>
      <c r="O114" s="35">
        <f t="shared" si="0"/>
        <v>0</v>
      </c>
    </row>
    <row r="115" spans="1:15" ht="18" customHeight="1" x14ac:dyDescent="0.25">
      <c r="A115" s="4"/>
      <c r="B115" s="4"/>
      <c r="C115" s="4"/>
      <c r="D115" s="4"/>
      <c r="E115" s="4"/>
      <c r="F115" s="4"/>
      <c r="G115" s="4"/>
      <c r="H115" s="4"/>
      <c r="I115" s="4"/>
      <c r="J115" s="4"/>
      <c r="K115" s="4"/>
      <c r="L115" s="4"/>
    </row>
    <row r="116" spans="1:15" ht="18" customHeight="1" x14ac:dyDescent="0.25">
      <c r="A116" s="4"/>
      <c r="B116" s="2038" t="s">
        <v>770</v>
      </c>
      <c r="C116" s="2038"/>
      <c r="D116" s="2038"/>
      <c r="E116" s="2039">
        <f>SUM(H70:H114)</f>
        <v>0</v>
      </c>
      <c r="F116" s="2039"/>
      <c r="G116" s="4"/>
      <c r="H116" s="4"/>
      <c r="I116" s="4"/>
      <c r="J116" s="4"/>
      <c r="K116" s="4"/>
      <c r="L116" s="4"/>
    </row>
    <row r="117" spans="1:15" ht="18" customHeight="1" x14ac:dyDescent="0.25">
      <c r="A117" s="4"/>
      <c r="B117" s="2038" t="s">
        <v>771</v>
      </c>
      <c r="C117" s="2038"/>
      <c r="D117" s="2038"/>
      <c r="E117" s="2039">
        <f>SUM(C70:C114)</f>
        <v>0</v>
      </c>
      <c r="F117" s="2039"/>
      <c r="G117" s="4"/>
      <c r="H117" s="4"/>
      <c r="I117" s="4"/>
      <c r="J117" s="4"/>
      <c r="K117" s="4"/>
      <c r="L117" s="4"/>
    </row>
    <row r="118" spans="1:15" ht="19.5" customHeight="1" x14ac:dyDescent="0.25">
      <c r="A118" s="4"/>
      <c r="B118" s="2038" t="s">
        <v>772</v>
      </c>
      <c r="C118" s="2038"/>
      <c r="D118" s="2038"/>
      <c r="E118" s="2040">
        <f>IFERROR(E116/E117,0)</f>
        <v>0</v>
      </c>
      <c r="F118" s="2040"/>
      <c r="G118" s="630" t="str">
        <f>IFERROR(IF(E118&gt;=0.5,"→ One EP-1 point can be targeted",""),"")</f>
        <v/>
      </c>
      <c r="H118" s="4"/>
      <c r="I118" s="4"/>
      <c r="J118" s="4"/>
      <c r="K118" s="4"/>
      <c r="L118" s="4"/>
    </row>
    <row r="119" spans="1:15" ht="19.5" customHeight="1" x14ac:dyDescent="0.25">
      <c r="A119" s="4"/>
      <c r="B119" s="4"/>
      <c r="C119" s="4"/>
      <c r="D119" s="4"/>
      <c r="E119" s="46"/>
      <c r="F119" s="46"/>
      <c r="G119" s="4"/>
      <c r="H119" s="4"/>
      <c r="I119" s="4"/>
      <c r="J119" s="4"/>
      <c r="K119" s="4"/>
      <c r="L119" s="4"/>
    </row>
    <row r="120" spans="1:15" ht="18" customHeight="1" x14ac:dyDescent="0.25">
      <c r="A120" s="2008" t="s">
        <v>84</v>
      </c>
      <c r="B120" s="2008"/>
      <c r="C120" s="2008"/>
      <c r="D120" s="2008"/>
      <c r="E120" s="2008"/>
      <c r="F120" s="2008"/>
      <c r="G120" s="2008"/>
      <c r="H120" s="2008"/>
      <c r="I120" s="2008"/>
      <c r="J120" s="2008"/>
      <c r="K120" s="2008"/>
      <c r="L120" s="2008"/>
    </row>
    <row r="121" spans="1:15" ht="15" x14ac:dyDescent="0.25">
      <c r="A121" s="4"/>
      <c r="B121" s="4"/>
      <c r="C121" s="4"/>
      <c r="D121" s="4"/>
      <c r="E121" s="4"/>
      <c r="F121" s="4"/>
      <c r="G121" s="4"/>
      <c r="H121" s="4"/>
      <c r="I121" s="4"/>
      <c r="J121" s="4"/>
      <c r="K121" s="4"/>
      <c r="L121" s="4"/>
    </row>
    <row r="122" spans="1:15" ht="21" customHeight="1" x14ac:dyDescent="0.25">
      <c r="A122" s="4"/>
      <c r="B122" s="2036" t="s">
        <v>85</v>
      </c>
      <c r="C122" s="2037"/>
      <c r="D122" s="2037"/>
      <c r="E122" s="2037"/>
      <c r="F122" s="620" t="s">
        <v>907</v>
      </c>
      <c r="G122" s="2028" t="s">
        <v>908</v>
      </c>
      <c r="H122" s="2029"/>
      <c r="I122" s="4"/>
      <c r="J122" s="4"/>
      <c r="K122" s="4"/>
      <c r="L122" s="4"/>
    </row>
    <row r="123" spans="1:15" ht="30" customHeight="1" x14ac:dyDescent="0.25">
      <c r="A123" s="4"/>
      <c r="B123" s="1648" t="str">
        <f>Submittals!G57</f>
        <v>• Evidence showing that the materials are sustainable such as photographs, manufacturer’s data, certificates, test reports, letter from manufacturer, etc.</v>
      </c>
      <c r="C123" s="1649"/>
      <c r="D123" s="1649"/>
      <c r="E123" s="1649"/>
      <c r="F123" s="614" t="s">
        <v>53</v>
      </c>
      <c r="G123" s="1689"/>
      <c r="H123" s="1690"/>
      <c r="I123" s="4"/>
      <c r="J123" s="4"/>
      <c r="K123" s="4"/>
      <c r="L123" s="4"/>
      <c r="M123" s="35" t="str">
        <f>IF(OR(B123="/",B123="No evidence required at this submission stage"),"Yes",IF(F123="Submitted","Yes","No"))</f>
        <v>No</v>
      </c>
    </row>
    <row r="124" spans="1:15" ht="30" customHeight="1" x14ac:dyDescent="0.25">
      <c r="A124" s="4"/>
      <c r="B124" s="1648" t="str">
        <f>Submittals!G58</f>
        <v>• Evidence showing that the materials were installed such as photographs, invoices, receipts, etc.</v>
      </c>
      <c r="C124" s="1649"/>
      <c r="D124" s="1649"/>
      <c r="E124" s="1649"/>
      <c r="F124" s="614" t="s">
        <v>53</v>
      </c>
      <c r="G124" s="1689"/>
      <c r="H124" s="1690"/>
      <c r="I124" s="4"/>
      <c r="J124" s="4"/>
      <c r="K124" s="4"/>
      <c r="L124" s="4"/>
      <c r="M124" s="35" t="str">
        <f>IF(OR(B124="/",B124="No evidence required at this submission stage"),"Yes",IF(F124="Submitted","Yes","No"))</f>
        <v>No</v>
      </c>
    </row>
    <row r="125" spans="1:15" ht="27" hidden="1" customHeight="1" x14ac:dyDescent="0.25">
      <c r="A125" s="4"/>
      <c r="B125" s="1961" t="str">
        <f>Submittals!G59</f>
        <v>/</v>
      </c>
      <c r="C125" s="1962"/>
      <c r="D125" s="1962"/>
      <c r="E125" s="1962"/>
      <c r="F125" s="614" t="s">
        <v>53</v>
      </c>
      <c r="G125" s="1689"/>
      <c r="H125" s="1690"/>
      <c r="I125" s="4"/>
      <c r="J125" s="4"/>
      <c r="K125" s="4"/>
      <c r="L125" s="4"/>
      <c r="M125" s="35" t="str">
        <f>IF(OR(B125="/",B125="No evidence required at this submission stage"),"Yes",IF(F125="Submitted","Yes","No"))</f>
        <v>Yes</v>
      </c>
    </row>
    <row r="126" spans="1:15" ht="19.5" customHeight="1" x14ac:dyDescent="0.25">
      <c r="A126" s="4"/>
      <c r="B126" s="4"/>
      <c r="C126" s="4"/>
      <c r="D126" s="4"/>
      <c r="E126" s="4"/>
      <c r="F126" s="4"/>
      <c r="G126" s="4"/>
      <c r="H126" s="4"/>
      <c r="I126" s="4"/>
      <c r="J126" s="4"/>
      <c r="K126" s="4"/>
      <c r="L126" s="4"/>
    </row>
    <row r="127" spans="1:15" ht="18" customHeight="1" x14ac:dyDescent="0.25">
      <c r="A127" s="2008" t="s">
        <v>5</v>
      </c>
      <c r="B127" s="2008"/>
      <c r="C127" s="2008"/>
      <c r="D127" s="2008"/>
      <c r="E127" s="2008"/>
      <c r="F127" s="2008"/>
      <c r="G127" s="2008"/>
      <c r="H127" s="2008"/>
      <c r="I127" s="2008"/>
      <c r="J127" s="2008"/>
      <c r="K127" s="2008"/>
      <c r="L127" s="2008"/>
    </row>
    <row r="128" spans="1:15" ht="14.25" customHeight="1" x14ac:dyDescent="0.25">
      <c r="A128" s="4"/>
      <c r="B128" s="4"/>
      <c r="C128" s="4"/>
      <c r="D128" s="4"/>
      <c r="E128" s="4"/>
      <c r="F128" s="4"/>
      <c r="G128" s="4"/>
      <c r="H128" s="4"/>
      <c r="I128" s="4"/>
      <c r="J128" s="4"/>
      <c r="K128" s="4"/>
      <c r="L128" s="4"/>
    </row>
    <row r="129" spans="1:12" ht="18" customHeight="1" x14ac:dyDescent="0.25">
      <c r="A129" s="4"/>
      <c r="B129" s="164" t="s">
        <v>16</v>
      </c>
      <c r="C129" s="8">
        <f>IF(E118&gt;=0.4,4,IF(E118&gt;=0.3,3,IF(E118&gt;=0.2,2,IF(E118&gt;=0.1,1,0))))</f>
        <v>0</v>
      </c>
      <c r="D129" s="4"/>
      <c r="E129" s="4"/>
      <c r="F129" s="4"/>
      <c r="G129" s="4"/>
      <c r="H129" s="4"/>
      <c r="I129" s="4"/>
      <c r="J129" s="4"/>
      <c r="K129" s="4"/>
      <c r="L129" s="4"/>
    </row>
    <row r="130" spans="1:12" ht="18" customHeight="1" x14ac:dyDescent="0.25">
      <c r="A130" s="4"/>
      <c r="B130" s="165" t="s">
        <v>133</v>
      </c>
      <c r="C130" s="8" t="str">
        <f>IF(AND(COUNTIF(M123:M124,"Yes")=2,C129&gt;0),"Yes","No")</f>
        <v>No</v>
      </c>
      <c r="D130" s="4"/>
      <c r="E130" s="4"/>
      <c r="F130" s="4"/>
      <c r="G130" s="4"/>
      <c r="H130" s="4"/>
      <c r="I130" s="4"/>
      <c r="J130" s="4"/>
      <c r="K130" s="4"/>
      <c r="L130" s="4"/>
    </row>
    <row r="131" spans="1:12" ht="15" x14ac:dyDescent="0.25">
      <c r="A131" s="4"/>
      <c r="B131" s="4"/>
      <c r="C131" s="4"/>
      <c r="D131" s="4"/>
      <c r="E131" s="4"/>
      <c r="F131" s="4"/>
      <c r="G131" s="4"/>
      <c r="H131" s="4"/>
      <c r="I131" s="4"/>
      <c r="J131" s="4"/>
      <c r="K131" s="4"/>
      <c r="L131" s="4"/>
    </row>
    <row r="132" spans="1:12" ht="15" hidden="1" customHeight="1" x14ac:dyDescent="0.25"/>
    <row r="133" spans="1:12" ht="15" hidden="1" customHeight="1" x14ac:dyDescent="0.25"/>
    <row r="134" spans="1:12" ht="15" hidden="1" customHeight="1" x14ac:dyDescent="0.25"/>
    <row r="135" spans="1:12" ht="15" hidden="1" customHeight="1" x14ac:dyDescent="0.25"/>
    <row r="136" spans="1:12" ht="15" hidden="1" customHeight="1" x14ac:dyDescent="0.25"/>
    <row r="137" spans="1:12" ht="15" hidden="1" customHeight="1" x14ac:dyDescent="0.25"/>
    <row r="138" spans="1:12" ht="15" hidden="1" customHeight="1" x14ac:dyDescent="0.25"/>
    <row r="139" spans="1:12" ht="15" hidden="1" customHeight="1" x14ac:dyDescent="0.25"/>
    <row r="140" spans="1:12" ht="15" hidden="1" customHeight="1" x14ac:dyDescent="0.25"/>
    <row r="141" spans="1:12" ht="15" hidden="1" customHeight="1" x14ac:dyDescent="0.25"/>
    <row r="142" spans="1:12" ht="15" hidden="1" customHeight="1" x14ac:dyDescent="0.25"/>
    <row r="143" spans="1:12" ht="15" hidden="1" customHeight="1" x14ac:dyDescent="0.25"/>
    <row r="144" spans="1:12"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sheetData>
  <sheetProtection algorithmName="SHA-512" hashValue="GU/O1rt3WvoCoSypwHDn3imRKLJckBoTeuGnJy+zY+h68Kvg5mlWYMItn1ff3KZu6RRMkmmO7CkT0MI1phNRfw==" saltValue="3Ddvg46YAeu1UJ0IePd0iA==" spinCount="100000" sheet="1" objects="1" scenarios="1" formatRows="0"/>
  <mergeCells count="245">
    <mergeCell ref="B42:F42"/>
    <mergeCell ref="B43:F43"/>
    <mergeCell ref="B44:F44"/>
    <mergeCell ref="B45:F45"/>
    <mergeCell ref="B46:F46"/>
    <mergeCell ref="B48:F48"/>
    <mergeCell ref="B47:F47"/>
    <mergeCell ref="G56:J56"/>
    <mergeCell ref="B32:F32"/>
    <mergeCell ref="B33:F33"/>
    <mergeCell ref="B34:F34"/>
    <mergeCell ref="B35:F35"/>
    <mergeCell ref="B36:F36"/>
    <mergeCell ref="B37:F37"/>
    <mergeCell ref="B38:F38"/>
    <mergeCell ref="B40:F40"/>
    <mergeCell ref="B41:F41"/>
    <mergeCell ref="B116:D116"/>
    <mergeCell ref="E116:F116"/>
    <mergeCell ref="B117:D117"/>
    <mergeCell ref="E117:F117"/>
    <mergeCell ref="B118:D118"/>
    <mergeCell ref="E118:F118"/>
    <mergeCell ref="B112:B114"/>
    <mergeCell ref="C112:C114"/>
    <mergeCell ref="H112:H114"/>
    <mergeCell ref="B106:B108"/>
    <mergeCell ref="C106:C108"/>
    <mergeCell ref="H106:H108"/>
    <mergeCell ref="I106:K106"/>
    <mergeCell ref="I107:K107"/>
    <mergeCell ref="I108:K108"/>
    <mergeCell ref="B109:B111"/>
    <mergeCell ref="C109:C111"/>
    <mergeCell ref="H109:H111"/>
    <mergeCell ref="I109:K109"/>
    <mergeCell ref="I110:K110"/>
    <mergeCell ref="I111:K111"/>
    <mergeCell ref="M94:M96"/>
    <mergeCell ref="N94:N96"/>
    <mergeCell ref="M97:M99"/>
    <mergeCell ref="N97:N99"/>
    <mergeCell ref="G94:G96"/>
    <mergeCell ref="G97:G99"/>
    <mergeCell ref="I101:K101"/>
    <mergeCell ref="I102:K102"/>
    <mergeCell ref="B103:B105"/>
    <mergeCell ref="C103:C105"/>
    <mergeCell ref="H103:H105"/>
    <mergeCell ref="I103:K103"/>
    <mergeCell ref="I104:K104"/>
    <mergeCell ref="I105:K105"/>
    <mergeCell ref="M100:M102"/>
    <mergeCell ref="N100:N102"/>
    <mergeCell ref="M103:M105"/>
    <mergeCell ref="N103:N105"/>
    <mergeCell ref="G100:G102"/>
    <mergeCell ref="G103:G105"/>
    <mergeCell ref="B100:B102"/>
    <mergeCell ref="C100:C102"/>
    <mergeCell ref="H100:H102"/>
    <mergeCell ref="I100:K100"/>
    <mergeCell ref="B94:B96"/>
    <mergeCell ref="C94:C96"/>
    <mergeCell ref="H94:H96"/>
    <mergeCell ref="I94:K94"/>
    <mergeCell ref="I95:K95"/>
    <mergeCell ref="I96:K96"/>
    <mergeCell ref="B97:B99"/>
    <mergeCell ref="C97:C99"/>
    <mergeCell ref="H97:H99"/>
    <mergeCell ref="I97:K97"/>
    <mergeCell ref="I98:K98"/>
    <mergeCell ref="I99:K99"/>
    <mergeCell ref="B91:B93"/>
    <mergeCell ref="C91:C93"/>
    <mergeCell ref="H91:H93"/>
    <mergeCell ref="I91:K91"/>
    <mergeCell ref="I92:K92"/>
    <mergeCell ref="I93:K93"/>
    <mergeCell ref="M88:M90"/>
    <mergeCell ref="N88:N90"/>
    <mergeCell ref="M91:M93"/>
    <mergeCell ref="N91:N93"/>
    <mergeCell ref="G88:G90"/>
    <mergeCell ref="G91:G93"/>
    <mergeCell ref="B85:B87"/>
    <mergeCell ref="C85:C87"/>
    <mergeCell ref="H85:H87"/>
    <mergeCell ref="I85:K85"/>
    <mergeCell ref="I86:K86"/>
    <mergeCell ref="I87:K87"/>
    <mergeCell ref="H88:H90"/>
    <mergeCell ref="I88:K88"/>
    <mergeCell ref="I89:K89"/>
    <mergeCell ref="I90:K90"/>
    <mergeCell ref="B123:E123"/>
    <mergeCell ref="B125:E125"/>
    <mergeCell ref="B88:B90"/>
    <mergeCell ref="C88:C90"/>
    <mergeCell ref="I71:K71"/>
    <mergeCell ref="I72:K72"/>
    <mergeCell ref="B73:B75"/>
    <mergeCell ref="C73:C75"/>
    <mergeCell ref="H73:H75"/>
    <mergeCell ref="I73:K73"/>
    <mergeCell ref="I74:K74"/>
    <mergeCell ref="I75:K75"/>
    <mergeCell ref="I77:K77"/>
    <mergeCell ref="I78:K78"/>
    <mergeCell ref="B79:B81"/>
    <mergeCell ref="C79:C81"/>
    <mergeCell ref="H79:H81"/>
    <mergeCell ref="I79:K79"/>
    <mergeCell ref="I80:K80"/>
    <mergeCell ref="I81:K81"/>
    <mergeCell ref="B82:B84"/>
    <mergeCell ref="C82:C84"/>
    <mergeCell ref="H82:H84"/>
    <mergeCell ref="I82:K82"/>
    <mergeCell ref="G122:H122"/>
    <mergeCell ref="G123:H123"/>
    <mergeCell ref="G125:H125"/>
    <mergeCell ref="B124:E124"/>
    <mergeCell ref="G124:H124"/>
    <mergeCell ref="B56:D56"/>
    <mergeCell ref="B57:C57"/>
    <mergeCell ref="B58:C58"/>
    <mergeCell ref="B59:C59"/>
    <mergeCell ref="D69:E69"/>
    <mergeCell ref="B61:C61"/>
    <mergeCell ref="B76:B78"/>
    <mergeCell ref="C76:C78"/>
    <mergeCell ref="H76:H78"/>
    <mergeCell ref="E88:E90"/>
    <mergeCell ref="E91:E93"/>
    <mergeCell ref="E94:E96"/>
    <mergeCell ref="E97:E99"/>
    <mergeCell ref="E100:E102"/>
    <mergeCell ref="E103:E105"/>
    <mergeCell ref="E106:E108"/>
    <mergeCell ref="E109:E111"/>
    <mergeCell ref="E112:E114"/>
    <mergeCell ref="B122:E122"/>
    <mergeCell ref="D57:E57"/>
    <mergeCell ref="D58:E58"/>
    <mergeCell ref="D59:E59"/>
    <mergeCell ref="D60:E60"/>
    <mergeCell ref="B70:B72"/>
    <mergeCell ref="C70:C72"/>
    <mergeCell ref="H70:H72"/>
    <mergeCell ref="I70:K70"/>
    <mergeCell ref="G58:H58"/>
    <mergeCell ref="I58:J58"/>
    <mergeCell ref="I69:K69"/>
    <mergeCell ref="G61:H61"/>
    <mergeCell ref="I61:J61"/>
    <mergeCell ref="G62:H62"/>
    <mergeCell ref="I62:J62"/>
    <mergeCell ref="G63:H63"/>
    <mergeCell ref="I63:J63"/>
    <mergeCell ref="G64:H64"/>
    <mergeCell ref="I65:J65"/>
    <mergeCell ref="B63:C64"/>
    <mergeCell ref="D63:E64"/>
    <mergeCell ref="I64:J64"/>
    <mergeCell ref="G65:H65"/>
    <mergeCell ref="A1:L1"/>
    <mergeCell ref="B11:E11"/>
    <mergeCell ref="B12:E12"/>
    <mergeCell ref="A9:L9"/>
    <mergeCell ref="A5:L7"/>
    <mergeCell ref="A14:L14"/>
    <mergeCell ref="B31:F31"/>
    <mergeCell ref="A127:L127"/>
    <mergeCell ref="A120:L120"/>
    <mergeCell ref="B62:C62"/>
    <mergeCell ref="B60:C60"/>
    <mergeCell ref="B65:C65"/>
    <mergeCell ref="G57:H57"/>
    <mergeCell ref="G59:H59"/>
    <mergeCell ref="I57:J57"/>
    <mergeCell ref="I59:J59"/>
    <mergeCell ref="G60:H60"/>
    <mergeCell ref="A50:L50"/>
    <mergeCell ref="D61:E61"/>
    <mergeCell ref="D62:E62"/>
    <mergeCell ref="D65:E65"/>
    <mergeCell ref="I2:K4"/>
    <mergeCell ref="B67:I67"/>
    <mergeCell ref="I60:J60"/>
    <mergeCell ref="M70:M72"/>
    <mergeCell ref="N70:N72"/>
    <mergeCell ref="D70:D72"/>
    <mergeCell ref="E70:E72"/>
    <mergeCell ref="E73:E75"/>
    <mergeCell ref="E76:E78"/>
    <mergeCell ref="E79:E81"/>
    <mergeCell ref="E82:E84"/>
    <mergeCell ref="E85:E87"/>
    <mergeCell ref="G70:G72"/>
    <mergeCell ref="M73:M75"/>
    <mergeCell ref="N73:N75"/>
    <mergeCell ref="M76:M78"/>
    <mergeCell ref="N76:N78"/>
    <mergeCell ref="M79:M81"/>
    <mergeCell ref="N79:N81"/>
    <mergeCell ref="M82:M84"/>
    <mergeCell ref="N82:N84"/>
    <mergeCell ref="M85:M87"/>
    <mergeCell ref="N85:N87"/>
    <mergeCell ref="G85:G87"/>
    <mergeCell ref="I76:K76"/>
    <mergeCell ref="I83:K83"/>
    <mergeCell ref="I84:K84"/>
    <mergeCell ref="D100:D102"/>
    <mergeCell ref="D103:D105"/>
    <mergeCell ref="D106:D108"/>
    <mergeCell ref="D109:D111"/>
    <mergeCell ref="D112:D114"/>
    <mergeCell ref="G73:G75"/>
    <mergeCell ref="G76:G78"/>
    <mergeCell ref="G79:G81"/>
    <mergeCell ref="G82:G84"/>
    <mergeCell ref="D73:D75"/>
    <mergeCell ref="D76:D78"/>
    <mergeCell ref="D79:D81"/>
    <mergeCell ref="D82:D84"/>
    <mergeCell ref="D85:D87"/>
    <mergeCell ref="D88:D90"/>
    <mergeCell ref="D91:D93"/>
    <mergeCell ref="D94:D96"/>
    <mergeCell ref="D97:D99"/>
    <mergeCell ref="G106:G108"/>
    <mergeCell ref="G109:G111"/>
    <mergeCell ref="G112:G114"/>
    <mergeCell ref="M106:M108"/>
    <mergeCell ref="N106:N108"/>
    <mergeCell ref="M109:M111"/>
    <mergeCell ref="N109:N111"/>
    <mergeCell ref="M112:M114"/>
    <mergeCell ref="N112:N114"/>
    <mergeCell ref="I112:K112"/>
    <mergeCell ref="I113:K113"/>
    <mergeCell ref="I114:K114"/>
  </mergeCells>
  <conditionalFormatting sqref="F123:H125">
    <cfRule type="expression" dxfId="257" priority="97">
      <formula>$B123="/"</formula>
    </cfRule>
    <cfRule type="expression" dxfId="256" priority="98">
      <formula>$B123="No evidence required at this submission stage"</formula>
    </cfRule>
  </conditionalFormatting>
  <conditionalFormatting sqref="E70:E114">
    <cfRule type="expression" dxfId="255" priority="44">
      <formula>$M70&lt;&gt;1</formula>
    </cfRule>
  </conditionalFormatting>
  <dataValidations count="6">
    <dataValidation type="list" allowBlank="1" showInputMessage="1" showErrorMessage="1" sqref="F123:F125" xr:uid="{00000000-0002-0000-1900-000000000000}">
      <formula1>"Select,Submitted,Not submitted"</formula1>
    </dataValidation>
    <dataValidation allowBlank="1" showInputMessage="1" showErrorMessage="1" prompt="Describe the sustainable features of the furniture" sqref="I69" xr:uid="{00000000-0002-0000-1900-000001000000}"/>
    <dataValidation allowBlank="1" showInputMessage="1" showErrorMessage="1" prompt="Enter relevant information on the sustainable features of the materials: origin of reused materials, % of pre-consumer recycled content, % of post-consumer recycled content, transportation distance, etc. " sqref="I70:I114" xr:uid="{00000000-0002-0000-1900-000002000000}"/>
    <dataValidation type="list" allowBlank="1" showInputMessage="1" showErrorMessage="1" sqref="D70 D73 D76 D85 D79 D82 D94 D88 D91 D103 D97 D100 D106 D109 D112" xr:uid="{00000000-0002-0000-1900-000003000000}">
      <formula1>Sustainable_materials</formula1>
    </dataValidation>
    <dataValidation allowBlank="1" showInputMessage="1" showErrorMessage="1" prompt="Enter either the:_x000a_- % of reused components (by mass)._x000a_- % of recycled content._x000a_- % of rapidly renewable material_x000a_- % of sustainable timber_x000a_- level of certification_x000a_Else, do not complete the cell." sqref="E70 E73 E76 E82 E79 E91 E85 E88 E94 E100 E97 E103 E106 E112 E109" xr:uid="{00000000-0002-0000-1900-000004000000}"/>
    <dataValidation type="list" allowBlank="1" showInputMessage="1" showErrorMessage="1" sqref="F70:F114" xr:uid="{4CCB4693-A499-4DF1-B212-5DA076F727FB}">
      <formula1>sustainable_materials_features</formula1>
    </dataValidation>
  </dataValidations>
  <hyperlinks>
    <hyperlink ref="L4" location="'MR-4 Operation Waste Management'!B3" tooltip="MR-4" display="MR-4" xr:uid="{86653195-9896-4511-901D-48BEA029AD53}"/>
    <hyperlink ref="L2" location="'MR-3 Fit-out Waste'!B3" tooltip="MR-3" display="MR-3" xr:uid="{68F7277A-91AC-4E07-AFF7-6F4AD7484AFD}"/>
    <hyperlink ref="L3" location="'MR-3 Fit-out Waste'!B3" tooltip="MR-3" display="MR-3" xr:uid="{4EC90871-419B-42FE-A591-5F1C134D8DA0}"/>
  </hyperlink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5F4970"/>
  </sheetPr>
  <dimension ref="A1:Q148"/>
  <sheetViews>
    <sheetView showGridLines="0"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3.5703125" customWidth="1"/>
    <col min="2" max="2" width="23.140625" customWidth="1"/>
    <col min="3" max="3" width="21.5703125" customWidth="1"/>
    <col min="4" max="4" width="28.7109375" customWidth="1"/>
    <col min="5" max="5" width="10.28515625" customWidth="1"/>
    <col min="6" max="6" width="26" customWidth="1"/>
    <col min="7" max="7" width="22.28515625" customWidth="1"/>
    <col min="8" max="8" width="17.7109375" customWidth="1"/>
    <col min="9" max="9" width="16" customWidth="1"/>
    <col min="10" max="10" width="8.28515625" customWidth="1"/>
    <col min="11" max="11" width="7.7109375" customWidth="1"/>
    <col min="12" max="12" width="8.7109375" customWidth="1"/>
    <col min="13" max="13" width="9.140625" hidden="1" customWidth="1"/>
    <col min="14" max="14" width="19.85546875" hidden="1" customWidth="1"/>
    <col min="15" max="16384" width="9.140625" hidden="1"/>
  </cols>
  <sheetData>
    <row r="1" spans="1:15" ht="25.5" customHeight="1" x14ac:dyDescent="0.25">
      <c r="A1" s="1985" t="s">
        <v>2292</v>
      </c>
      <c r="B1" s="1985"/>
      <c r="C1" s="1985"/>
      <c r="D1" s="1985"/>
      <c r="E1" s="1985"/>
      <c r="F1" s="1985"/>
      <c r="G1" s="1985"/>
      <c r="H1" s="1985"/>
      <c r="I1" s="1985"/>
      <c r="J1" s="1985"/>
      <c r="K1" s="1985"/>
      <c r="L1" s="1985"/>
    </row>
    <row r="2" spans="1:15" ht="15" customHeight="1" x14ac:dyDescent="0.25">
      <c r="A2" s="4"/>
      <c r="B2" s="4"/>
      <c r="C2" s="4"/>
      <c r="D2" s="4"/>
      <c r="E2" s="4"/>
      <c r="F2" s="5"/>
      <c r="G2" s="1753" t="s">
        <v>2315</v>
      </c>
      <c r="H2" s="1753"/>
      <c r="I2" s="1753"/>
      <c r="J2" s="1753"/>
      <c r="K2" s="1753"/>
      <c r="L2" s="1225" t="s">
        <v>2286</v>
      </c>
    </row>
    <row r="3" spans="1:15" ht="15" customHeight="1" x14ac:dyDescent="0.25">
      <c r="A3" s="4"/>
      <c r="B3" s="4"/>
      <c r="C3" s="4"/>
      <c r="D3" s="4"/>
      <c r="E3" s="4"/>
      <c r="F3" s="5"/>
      <c r="G3" s="1753"/>
      <c r="H3" s="1753"/>
      <c r="I3" s="1753"/>
      <c r="J3" s="1753"/>
      <c r="K3" s="1753"/>
      <c r="L3" s="1225" t="s">
        <v>2283</v>
      </c>
    </row>
    <row r="4" spans="1:15" ht="15" customHeight="1" x14ac:dyDescent="0.25">
      <c r="A4" s="4"/>
      <c r="B4" s="4"/>
      <c r="C4" s="4"/>
      <c r="D4" s="4"/>
      <c r="E4" s="4"/>
      <c r="F4" s="5"/>
      <c r="G4" s="1754"/>
      <c r="H4" s="1754"/>
      <c r="I4" s="1754"/>
      <c r="J4" s="1754"/>
      <c r="K4" s="1754"/>
      <c r="L4" s="1225" t="s">
        <v>2284</v>
      </c>
    </row>
    <row r="5" spans="1:15" s="35" customFormat="1" ht="17.25" customHeight="1" x14ac:dyDescent="0.25">
      <c r="A5" s="1656" t="s">
        <v>2630</v>
      </c>
      <c r="B5" s="1657"/>
      <c r="C5" s="1657"/>
      <c r="D5" s="1657"/>
      <c r="E5" s="1657"/>
      <c r="F5" s="1657"/>
      <c r="G5" s="1657"/>
      <c r="H5" s="1657"/>
      <c r="I5" s="1657"/>
      <c r="J5" s="1657"/>
      <c r="K5" s="1657"/>
      <c r="L5" s="1657"/>
      <c r="M5"/>
      <c r="N5"/>
      <c r="O5"/>
    </row>
    <row r="6" spans="1:15" s="35" customFormat="1" ht="17.25" customHeight="1" x14ac:dyDescent="0.25">
      <c r="A6" s="1659"/>
      <c r="B6" s="1660"/>
      <c r="C6" s="1660"/>
      <c r="D6" s="1660"/>
      <c r="E6" s="1660"/>
      <c r="F6" s="1660"/>
      <c r="G6" s="1660"/>
      <c r="H6" s="1660"/>
      <c r="I6" s="1660"/>
      <c r="J6" s="1660"/>
      <c r="K6" s="1660"/>
      <c r="L6" s="1660"/>
      <c r="M6"/>
      <c r="N6"/>
      <c r="O6"/>
    </row>
    <row r="7" spans="1:15" s="35" customFormat="1" ht="17.25" customHeight="1" x14ac:dyDescent="0.25">
      <c r="A7" s="1662"/>
      <c r="B7" s="1663"/>
      <c r="C7" s="1663"/>
      <c r="D7" s="1663"/>
      <c r="E7" s="1663"/>
      <c r="F7" s="1663"/>
      <c r="G7" s="1663"/>
      <c r="H7" s="1663"/>
      <c r="I7" s="1663"/>
      <c r="J7" s="1663"/>
      <c r="K7" s="1663"/>
      <c r="L7" s="1663"/>
      <c r="M7"/>
      <c r="N7"/>
      <c r="O7"/>
    </row>
    <row r="8" spans="1:15" s="35" customFormat="1" ht="10.5" customHeight="1" x14ac:dyDescent="0.25">
      <c r="A8" s="45"/>
      <c r="B8" s="46"/>
      <c r="C8" s="46"/>
      <c r="D8" s="46"/>
      <c r="E8" s="46"/>
      <c r="F8" s="45"/>
      <c r="G8" s="45"/>
      <c r="H8" s="45"/>
      <c r="I8" s="45"/>
      <c r="J8" s="45"/>
      <c r="K8" s="45"/>
      <c r="L8" s="45"/>
      <c r="M8"/>
      <c r="N8"/>
      <c r="O8"/>
    </row>
    <row r="9" spans="1:15" ht="18" customHeight="1" x14ac:dyDescent="0.25">
      <c r="A9" s="2008" t="s">
        <v>82</v>
      </c>
      <c r="B9" s="2008"/>
      <c r="C9" s="2008"/>
      <c r="D9" s="2008"/>
      <c r="E9" s="2008"/>
      <c r="F9" s="2008"/>
      <c r="G9" s="2008"/>
      <c r="H9" s="2008"/>
      <c r="I9" s="2008"/>
      <c r="J9" s="2008"/>
      <c r="K9" s="2008"/>
      <c r="L9" s="2008"/>
    </row>
    <row r="10" spans="1:15" x14ac:dyDescent="0.25">
      <c r="A10" s="5"/>
      <c r="B10" s="4"/>
      <c r="C10" s="4"/>
      <c r="D10" s="4"/>
      <c r="E10" s="4"/>
      <c r="F10" s="5"/>
      <c r="G10" s="5"/>
      <c r="H10" s="5"/>
      <c r="I10" s="5"/>
      <c r="J10" s="5"/>
      <c r="K10" s="5"/>
      <c r="L10" s="5"/>
    </row>
    <row r="11" spans="1:15" ht="21" customHeight="1" x14ac:dyDescent="0.25">
      <c r="A11" s="5"/>
      <c r="B11" s="2003" t="s">
        <v>83</v>
      </c>
      <c r="C11" s="2004"/>
      <c r="D11" s="2004"/>
      <c r="E11" s="2004"/>
      <c r="F11" s="262" t="s">
        <v>64</v>
      </c>
      <c r="G11" s="262" t="s">
        <v>16</v>
      </c>
      <c r="H11" s="163" t="s">
        <v>133</v>
      </c>
      <c r="I11" s="5"/>
      <c r="J11" s="5"/>
      <c r="K11" s="5"/>
      <c r="L11" s="5"/>
    </row>
    <row r="12" spans="1:15" ht="43.5" customHeight="1" x14ac:dyDescent="0.25">
      <c r="A12" s="5"/>
      <c r="B12" s="2005" t="s">
        <v>2334</v>
      </c>
      <c r="C12" s="2006"/>
      <c r="D12" s="2006"/>
      <c r="E12" s="2007"/>
      <c r="F12" s="261">
        <v>4</v>
      </c>
      <c r="G12" s="259">
        <f>C120</f>
        <v>0</v>
      </c>
      <c r="H12" s="260" t="str">
        <f>C121</f>
        <v>No</v>
      </c>
      <c r="I12" s="5"/>
      <c r="J12" s="5"/>
      <c r="K12" s="5"/>
      <c r="L12" s="5"/>
    </row>
    <row r="13" spans="1:15" x14ac:dyDescent="0.25">
      <c r="A13" s="5"/>
      <c r="B13" s="4"/>
      <c r="C13" s="4"/>
      <c r="D13" s="4"/>
      <c r="E13" s="4"/>
      <c r="F13" s="5"/>
      <c r="G13" s="5"/>
      <c r="H13" s="5"/>
      <c r="I13" s="5"/>
      <c r="J13" s="5"/>
      <c r="K13" s="5"/>
      <c r="L13" s="5"/>
    </row>
    <row r="14" spans="1:15" ht="18" customHeight="1" x14ac:dyDescent="0.25">
      <c r="A14" s="2008" t="s">
        <v>102</v>
      </c>
      <c r="B14" s="2008"/>
      <c r="C14" s="2008"/>
      <c r="D14" s="2008"/>
      <c r="E14" s="2008"/>
      <c r="F14" s="2008"/>
      <c r="G14" s="2008"/>
      <c r="H14" s="2008"/>
      <c r="I14" s="2008"/>
      <c r="J14" s="2008"/>
      <c r="K14" s="2008"/>
      <c r="L14" s="2008"/>
    </row>
    <row r="15" spans="1:15" x14ac:dyDescent="0.25">
      <c r="A15" s="4"/>
      <c r="B15" s="4"/>
      <c r="C15" s="4"/>
      <c r="D15" s="4"/>
      <c r="E15" s="4"/>
      <c r="F15" s="4"/>
      <c r="G15" s="4"/>
      <c r="H15" s="4"/>
      <c r="I15" s="4"/>
      <c r="J15" s="4"/>
      <c r="K15" s="4"/>
      <c r="L15" s="4"/>
    </row>
    <row r="16" spans="1:15" x14ac:dyDescent="0.25">
      <c r="A16" s="4"/>
      <c r="B16" s="559" t="s">
        <v>767</v>
      </c>
      <c r="C16" s="4"/>
      <c r="D16" s="4"/>
      <c r="E16" s="4"/>
      <c r="F16" s="4"/>
      <c r="G16" s="4"/>
      <c r="H16" s="4"/>
      <c r="I16" s="4"/>
      <c r="J16" s="4"/>
      <c r="K16" s="4"/>
      <c r="L16" s="4"/>
    </row>
    <row r="17" spans="1:14" x14ac:dyDescent="0.25">
      <c r="A17" s="4"/>
      <c r="B17" s="4"/>
      <c r="C17" s="4"/>
      <c r="D17" s="4"/>
      <c r="E17" s="4"/>
      <c r="F17" s="4"/>
      <c r="G17" s="4"/>
      <c r="H17" s="4"/>
      <c r="I17" s="4"/>
      <c r="J17" s="4"/>
      <c r="K17" s="4"/>
      <c r="L17" s="4"/>
    </row>
    <row r="18" spans="1:14" ht="12" customHeight="1" x14ac:dyDescent="0.25">
      <c r="A18" s="4"/>
      <c r="B18" s="607" t="s">
        <v>1849</v>
      </c>
      <c r="C18" s="4"/>
      <c r="D18" s="4"/>
      <c r="E18" s="4"/>
      <c r="F18" s="4"/>
      <c r="G18" s="4"/>
      <c r="H18" s="4"/>
      <c r="I18" s="4"/>
      <c r="J18" s="4"/>
      <c r="K18" s="4"/>
      <c r="L18" s="4"/>
    </row>
    <row r="19" spans="1:14" x14ac:dyDescent="0.25">
      <c r="A19" s="4"/>
      <c r="B19" s="607" t="s">
        <v>315</v>
      </c>
      <c r="C19" s="4"/>
      <c r="D19" s="4"/>
      <c r="E19" s="4"/>
      <c r="F19" s="4"/>
      <c r="G19" s="4"/>
      <c r="H19" s="4"/>
      <c r="I19" s="4"/>
      <c r="J19" s="4"/>
      <c r="K19" s="4"/>
      <c r="L19" s="4"/>
    </row>
    <row r="20" spans="1:14" x14ac:dyDescent="0.25">
      <c r="A20" s="4"/>
      <c r="B20" s="608" t="s">
        <v>316</v>
      </c>
      <c r="C20" s="4"/>
      <c r="D20" s="4"/>
      <c r="E20" s="4"/>
      <c r="F20" s="4"/>
      <c r="G20" s="4"/>
      <c r="H20" s="4"/>
      <c r="I20" s="4"/>
      <c r="J20" s="4"/>
      <c r="K20" s="4"/>
      <c r="L20" s="4"/>
    </row>
    <row r="21" spans="1:14" x14ac:dyDescent="0.25">
      <c r="A21" s="4"/>
      <c r="B21" s="608" t="s">
        <v>317</v>
      </c>
      <c r="C21" s="4"/>
      <c r="D21" s="4"/>
      <c r="E21" s="4"/>
      <c r="F21" s="4"/>
      <c r="G21" s="4"/>
      <c r="H21" s="4"/>
      <c r="I21" s="4"/>
      <c r="J21" s="4"/>
      <c r="K21" s="4"/>
      <c r="L21" s="4"/>
    </row>
    <row r="22" spans="1:14" x14ac:dyDescent="0.25">
      <c r="A22" s="4"/>
      <c r="B22" s="608" t="s">
        <v>1327</v>
      </c>
      <c r="C22" s="4"/>
      <c r="D22" s="4"/>
      <c r="E22" s="4"/>
      <c r="F22" s="4"/>
      <c r="G22" s="4"/>
      <c r="H22" s="4"/>
      <c r="I22" s="4"/>
      <c r="J22" s="4"/>
      <c r="K22" s="4"/>
      <c r="L22" s="4"/>
    </row>
    <row r="23" spans="1:14" x14ac:dyDescent="0.25">
      <c r="A23" s="4"/>
      <c r="B23" s="608" t="s">
        <v>318</v>
      </c>
      <c r="C23" s="4"/>
      <c r="D23" s="4"/>
      <c r="E23" s="4"/>
      <c r="F23" s="4"/>
      <c r="G23" s="4"/>
      <c r="H23" s="4"/>
      <c r="I23" s="4"/>
      <c r="J23" s="4"/>
      <c r="K23" s="4"/>
      <c r="L23" s="4"/>
    </row>
    <row r="24" spans="1:14" x14ac:dyDescent="0.25">
      <c r="A24" s="4"/>
      <c r="B24" s="4"/>
      <c r="C24" s="4"/>
      <c r="D24" s="4"/>
      <c r="E24" s="4"/>
      <c r="F24" s="4"/>
      <c r="G24" s="4"/>
      <c r="H24" s="4"/>
      <c r="I24" s="4"/>
      <c r="J24" s="4"/>
      <c r="K24" s="4"/>
      <c r="L24" s="4"/>
    </row>
    <row r="25" spans="1:14" x14ac:dyDescent="0.25">
      <c r="A25" s="4"/>
      <c r="B25" s="2009" t="s">
        <v>2036</v>
      </c>
      <c r="C25" s="2010"/>
      <c r="D25" s="2010"/>
      <c r="E25" s="2010"/>
      <c r="F25" s="2011"/>
      <c r="G25" s="4"/>
      <c r="H25" s="4"/>
      <c r="I25" s="4"/>
      <c r="J25" s="4"/>
      <c r="K25" s="4"/>
      <c r="L25" s="4"/>
    </row>
    <row r="26" spans="1:14" x14ac:dyDescent="0.25">
      <c r="A26" s="4"/>
      <c r="B26" s="2041" t="s">
        <v>2567</v>
      </c>
      <c r="C26" s="2042"/>
      <c r="D26" s="2042"/>
      <c r="E26" s="2042"/>
      <c r="F26" s="2043"/>
      <c r="G26" s="4"/>
      <c r="H26" s="4"/>
      <c r="I26" s="4"/>
      <c r="J26" s="4"/>
      <c r="K26" s="4"/>
      <c r="L26" s="4"/>
    </row>
    <row r="27" spans="1:14" x14ac:dyDescent="0.25">
      <c r="A27" s="4"/>
      <c r="B27" s="2041" t="s">
        <v>2563</v>
      </c>
      <c r="C27" s="2042"/>
      <c r="D27" s="2042"/>
      <c r="E27" s="2042"/>
      <c r="F27" s="2043"/>
      <c r="G27" s="4"/>
      <c r="H27" s="4"/>
      <c r="I27" s="4"/>
      <c r="J27" s="4"/>
      <c r="K27" s="4"/>
      <c r="L27" s="4"/>
    </row>
    <row r="28" spans="1:14" x14ac:dyDescent="0.25">
      <c r="A28" s="4"/>
      <c r="B28" s="2041" t="s">
        <v>2564</v>
      </c>
      <c r="C28" s="2042"/>
      <c r="D28" s="2042"/>
      <c r="E28" s="2042"/>
      <c r="F28" s="2043"/>
      <c r="G28" s="4"/>
      <c r="H28" s="4"/>
      <c r="I28" s="4"/>
      <c r="J28" s="4"/>
      <c r="K28" s="4"/>
      <c r="L28" s="4"/>
    </row>
    <row r="29" spans="1:14" x14ac:dyDescent="0.25">
      <c r="A29" s="4"/>
      <c r="B29" s="2041" t="s">
        <v>1851</v>
      </c>
      <c r="C29" s="2042"/>
      <c r="D29" s="2042"/>
      <c r="E29" s="2042"/>
      <c r="F29" s="2043"/>
      <c r="G29" s="4"/>
      <c r="H29" s="4"/>
      <c r="I29" s="4"/>
      <c r="J29" s="4"/>
      <c r="K29" s="4"/>
      <c r="L29" s="4"/>
    </row>
    <row r="30" spans="1:14" ht="15" customHeight="1" x14ac:dyDescent="0.25">
      <c r="A30" s="4"/>
      <c r="B30" s="2041" t="s">
        <v>2565</v>
      </c>
      <c r="C30" s="2042"/>
      <c r="D30" s="2042"/>
      <c r="E30" s="2042"/>
      <c r="F30" s="2043"/>
      <c r="G30" s="4"/>
      <c r="H30" s="4"/>
      <c r="I30" s="4"/>
      <c r="J30" s="4"/>
      <c r="K30" s="4"/>
      <c r="L30" s="4"/>
    </row>
    <row r="31" spans="1:14" x14ac:dyDescent="0.25">
      <c r="A31" s="4"/>
      <c r="B31" s="2044" t="s">
        <v>2566</v>
      </c>
      <c r="C31" s="2045"/>
      <c r="D31" s="2045"/>
      <c r="E31" s="2045"/>
      <c r="F31" s="2046"/>
      <c r="G31" s="4"/>
      <c r="H31" s="4"/>
      <c r="I31" s="4"/>
      <c r="J31" s="4"/>
      <c r="K31" s="4"/>
      <c r="L31" s="4"/>
      <c r="N31" s="24"/>
    </row>
    <row r="32" spans="1:14" ht="18" customHeight="1" x14ac:dyDescent="0.25">
      <c r="A32" s="4"/>
      <c r="B32" s="4"/>
      <c r="C32" s="4"/>
      <c r="D32" s="4"/>
      <c r="E32" s="4"/>
      <c r="F32" s="4"/>
      <c r="G32" s="4"/>
      <c r="H32" s="4"/>
      <c r="I32" s="4"/>
      <c r="J32" s="4"/>
      <c r="K32" s="4"/>
      <c r="L32" s="4"/>
      <c r="N32" s="24"/>
    </row>
    <row r="33" spans="1:15" x14ac:dyDescent="0.25">
      <c r="A33" s="4"/>
      <c r="B33" s="2009" t="s">
        <v>2529</v>
      </c>
      <c r="C33" s="2010"/>
      <c r="D33" s="2010"/>
      <c r="E33" s="2010"/>
      <c r="F33" s="2011"/>
      <c r="G33" s="4"/>
      <c r="H33" s="4"/>
      <c r="I33" s="4"/>
      <c r="J33" s="4"/>
      <c r="K33" s="4"/>
      <c r="L33" s="4"/>
    </row>
    <row r="34" spans="1:15" x14ac:dyDescent="0.25">
      <c r="A34" s="4"/>
      <c r="B34" s="2041" t="s">
        <v>2559</v>
      </c>
      <c r="C34" s="2042"/>
      <c r="D34" s="2042"/>
      <c r="E34" s="2042"/>
      <c r="F34" s="2043"/>
      <c r="G34" s="4"/>
      <c r="H34" s="4"/>
      <c r="I34" s="4"/>
      <c r="J34" s="4"/>
      <c r="K34" s="4"/>
      <c r="L34" s="4"/>
    </row>
    <row r="35" spans="1:15" x14ac:dyDescent="0.25">
      <c r="A35" s="4"/>
      <c r="B35" s="2041" t="s">
        <v>2560</v>
      </c>
      <c r="C35" s="2042"/>
      <c r="D35" s="2042"/>
      <c r="E35" s="2042"/>
      <c r="F35" s="2043"/>
      <c r="G35" s="4"/>
      <c r="H35" s="4"/>
      <c r="I35" s="4"/>
      <c r="J35" s="4"/>
      <c r="K35" s="4"/>
      <c r="L35" s="4"/>
      <c r="N35" s="1295" t="s">
        <v>53</v>
      </c>
    </row>
    <row r="36" spans="1:15" x14ac:dyDescent="0.25">
      <c r="A36" s="4"/>
      <c r="B36" s="2041" t="s">
        <v>2561</v>
      </c>
      <c r="C36" s="2042"/>
      <c r="D36" s="2042"/>
      <c r="E36" s="2042"/>
      <c r="F36" s="2043"/>
      <c r="G36" s="4"/>
      <c r="H36" s="4"/>
      <c r="I36" s="4"/>
      <c r="J36" s="4"/>
      <c r="K36" s="4"/>
      <c r="L36" s="4"/>
      <c r="N36" s="1295" t="s">
        <v>2595</v>
      </c>
    </row>
    <row r="37" spans="1:15" x14ac:dyDescent="0.25">
      <c r="A37" s="4"/>
      <c r="B37" s="2041" t="s">
        <v>2562</v>
      </c>
      <c r="C37" s="2042"/>
      <c r="D37" s="2042"/>
      <c r="E37" s="2042"/>
      <c r="F37" s="2043"/>
      <c r="G37" s="4"/>
      <c r="H37" s="4"/>
      <c r="I37" s="4"/>
      <c r="J37" s="4"/>
      <c r="K37" s="4"/>
      <c r="L37" s="4"/>
      <c r="N37" s="1295" t="s">
        <v>2596</v>
      </c>
    </row>
    <row r="38" spans="1:15" ht="15" customHeight="1" x14ac:dyDescent="0.25">
      <c r="A38" s="4"/>
      <c r="B38" s="2041" t="s">
        <v>1852</v>
      </c>
      <c r="C38" s="2042"/>
      <c r="D38" s="2042"/>
      <c r="E38" s="2042"/>
      <c r="F38" s="2043"/>
      <c r="G38" s="4"/>
      <c r="H38" s="4"/>
      <c r="I38" s="4"/>
      <c r="J38" s="4"/>
      <c r="K38" s="4"/>
      <c r="L38" s="4"/>
      <c r="N38" s="1295" t="s">
        <v>2597</v>
      </c>
    </row>
    <row r="39" spans="1:15" ht="15" customHeight="1" x14ac:dyDescent="0.25">
      <c r="A39" s="4"/>
      <c r="B39" s="2041" t="s">
        <v>2558</v>
      </c>
      <c r="C39" s="2042"/>
      <c r="D39" s="2042"/>
      <c r="E39" s="2042"/>
      <c r="F39" s="2043"/>
      <c r="G39" s="4"/>
      <c r="H39" s="4"/>
      <c r="I39" s="4"/>
      <c r="J39" s="4"/>
      <c r="K39" s="4"/>
      <c r="L39" s="4"/>
      <c r="N39" s="1295" t="s">
        <v>2607</v>
      </c>
    </row>
    <row r="40" spans="1:15" x14ac:dyDescent="0.25">
      <c r="A40" s="4"/>
      <c r="B40" s="2044" t="s">
        <v>2557</v>
      </c>
      <c r="C40" s="2045"/>
      <c r="D40" s="2045"/>
      <c r="E40" s="2045"/>
      <c r="F40" s="2046"/>
      <c r="G40" s="4"/>
      <c r="H40" s="4"/>
      <c r="I40" s="4"/>
      <c r="J40" s="4"/>
      <c r="K40" s="4"/>
      <c r="L40" s="4"/>
      <c r="N40" s="1295" t="s">
        <v>2606</v>
      </c>
    </row>
    <row r="41" spans="1:15" ht="18" customHeight="1" x14ac:dyDescent="0.25">
      <c r="A41" s="4"/>
      <c r="B41" s="4"/>
      <c r="C41" s="4"/>
      <c r="D41" s="4"/>
      <c r="E41" s="4"/>
      <c r="F41" s="4"/>
      <c r="G41" s="4"/>
      <c r="H41" s="4"/>
      <c r="I41" s="4"/>
      <c r="J41" s="4"/>
      <c r="K41" s="4"/>
      <c r="L41" s="4"/>
      <c r="N41" s="1297" t="s">
        <v>2602</v>
      </c>
    </row>
    <row r="42" spans="1:15" ht="18" customHeight="1" x14ac:dyDescent="0.25">
      <c r="A42" s="2008" t="s">
        <v>6</v>
      </c>
      <c r="B42" s="2008"/>
      <c r="C42" s="2008"/>
      <c r="D42" s="2008"/>
      <c r="E42" s="2008"/>
      <c r="F42" s="2008"/>
      <c r="G42" s="2008"/>
      <c r="H42" s="2008"/>
      <c r="I42" s="2008"/>
      <c r="J42" s="2008"/>
      <c r="K42" s="2008"/>
      <c r="L42" s="2008"/>
      <c r="N42" s="1297" t="s">
        <v>2603</v>
      </c>
    </row>
    <row r="43" spans="1:15" ht="14.25" customHeight="1" x14ac:dyDescent="0.25">
      <c r="A43" s="4"/>
      <c r="B43" s="4"/>
      <c r="C43" s="4"/>
      <c r="D43" s="4"/>
      <c r="E43" s="4"/>
      <c r="F43" s="4"/>
      <c r="G43" s="4"/>
      <c r="H43" s="4"/>
      <c r="I43" s="4"/>
      <c r="J43" s="4"/>
      <c r="K43" s="4"/>
      <c r="L43" s="4"/>
      <c r="N43" s="1297" t="s">
        <v>2604</v>
      </c>
    </row>
    <row r="44" spans="1:15" ht="15" customHeight="1" x14ac:dyDescent="0.25">
      <c r="A44" s="4"/>
      <c r="B44" s="558" t="s">
        <v>719</v>
      </c>
      <c r="C44" s="4"/>
      <c r="D44" s="4"/>
      <c r="E44" s="4"/>
      <c r="F44" s="4"/>
      <c r="G44" s="4"/>
      <c r="H44" s="4"/>
      <c r="I44" s="4"/>
      <c r="J44" s="4"/>
      <c r="K44" s="4"/>
      <c r="L44" s="4"/>
      <c r="N44" s="1297" t="s">
        <v>2605</v>
      </c>
    </row>
    <row r="45" spans="1:15" ht="15" customHeight="1" x14ac:dyDescent="0.25">
      <c r="A45" s="4"/>
      <c r="B45" s="558" t="s">
        <v>2568</v>
      </c>
      <c r="C45" s="4"/>
      <c r="D45" s="4"/>
      <c r="E45" s="4"/>
      <c r="F45" s="4"/>
      <c r="G45" s="4"/>
      <c r="H45" s="4"/>
      <c r="I45" s="4"/>
      <c r="J45" s="4"/>
      <c r="K45" s="4"/>
      <c r="L45" s="4"/>
      <c r="N45" s="1297" t="s">
        <v>2034</v>
      </c>
    </row>
    <row r="46" spans="1:15" ht="15" customHeight="1" x14ac:dyDescent="0.25">
      <c r="A46" s="4"/>
      <c r="B46" s="558" t="s">
        <v>2569</v>
      </c>
      <c r="C46" s="4"/>
      <c r="D46" s="4"/>
      <c r="E46" s="4"/>
      <c r="F46" s="4"/>
      <c r="G46" s="4"/>
      <c r="H46" s="4"/>
      <c r="I46" s="4"/>
      <c r="J46" s="4"/>
      <c r="K46" s="4"/>
      <c r="L46" s="4"/>
    </row>
    <row r="47" spans="1:15" ht="16.5" customHeight="1" x14ac:dyDescent="0.25">
      <c r="A47" s="4"/>
      <c r="B47" s="558"/>
      <c r="C47" s="4"/>
      <c r="D47" s="4"/>
      <c r="E47" s="4"/>
      <c r="F47" s="4"/>
      <c r="G47" s="4"/>
      <c r="H47" s="4"/>
      <c r="I47" s="4"/>
      <c r="J47" s="4"/>
      <c r="K47" s="4"/>
      <c r="L47" s="4"/>
      <c r="N47" s="1295" t="s">
        <v>53</v>
      </c>
      <c r="O47">
        <v>0</v>
      </c>
    </row>
    <row r="48" spans="1:15" ht="15" customHeight="1" thickBot="1" x14ac:dyDescent="0.3">
      <c r="A48" s="237"/>
      <c r="B48" s="2034" t="s">
        <v>2570</v>
      </c>
      <c r="C48" s="2034"/>
      <c r="D48" s="2034"/>
      <c r="E48" s="4"/>
      <c r="F48" s="4"/>
      <c r="G48" s="2034" t="s">
        <v>2571</v>
      </c>
      <c r="H48" s="2034"/>
      <c r="I48" s="2034"/>
      <c r="J48" s="2034"/>
      <c r="K48" s="1289"/>
      <c r="L48" s="4"/>
      <c r="N48" s="35" t="s">
        <v>2585</v>
      </c>
      <c r="O48" s="1296">
        <v>0.1</v>
      </c>
    </row>
    <row r="49" spans="1:15" ht="24" customHeight="1" thickBot="1" x14ac:dyDescent="0.3">
      <c r="A49" s="4"/>
      <c r="B49" s="2013" t="s">
        <v>2578</v>
      </c>
      <c r="C49" s="2014"/>
      <c r="D49" s="2013" t="s">
        <v>2539</v>
      </c>
      <c r="E49" s="2015"/>
      <c r="F49" s="4"/>
      <c r="G49" s="2013" t="s">
        <v>2548</v>
      </c>
      <c r="H49" s="2014"/>
      <c r="I49" s="2013" t="s">
        <v>2549</v>
      </c>
      <c r="J49" s="2015"/>
      <c r="K49" s="4"/>
      <c r="L49" s="4"/>
      <c r="N49" s="35" t="s">
        <v>2551</v>
      </c>
      <c r="O49" s="1296">
        <v>0.3</v>
      </c>
    </row>
    <row r="50" spans="1:15" ht="24" customHeight="1" thickBot="1" x14ac:dyDescent="0.3">
      <c r="A50" s="4"/>
      <c r="B50" s="2012" t="s">
        <v>2572</v>
      </c>
      <c r="C50" s="2012"/>
      <c r="D50" s="2020">
        <v>1</v>
      </c>
      <c r="E50" s="2019"/>
      <c r="F50" s="4"/>
      <c r="G50" s="2012" t="s">
        <v>2550</v>
      </c>
      <c r="H50" s="2012"/>
      <c r="I50" s="2016">
        <v>0.1</v>
      </c>
      <c r="J50" s="2017"/>
      <c r="K50" s="4"/>
      <c r="L50" s="4"/>
      <c r="N50" s="35" t="s">
        <v>2608</v>
      </c>
      <c r="O50" s="1296">
        <v>0.1</v>
      </c>
    </row>
    <row r="51" spans="1:15" ht="24" customHeight="1" thickBot="1" x14ac:dyDescent="0.3">
      <c r="A51" s="4"/>
      <c r="B51" s="2012" t="s">
        <v>2573</v>
      </c>
      <c r="C51" s="2012"/>
      <c r="D51" s="2018" t="s">
        <v>320</v>
      </c>
      <c r="E51" s="2019"/>
      <c r="F51" s="4"/>
      <c r="G51" s="2012" t="s">
        <v>2551</v>
      </c>
      <c r="H51" s="2012"/>
      <c r="I51" s="2016">
        <v>0.3</v>
      </c>
      <c r="J51" s="2017"/>
      <c r="K51" s="4"/>
      <c r="L51" s="4"/>
      <c r="N51" s="35" t="s">
        <v>2614</v>
      </c>
      <c r="O51" s="1296">
        <v>0.3</v>
      </c>
    </row>
    <row r="52" spans="1:15" ht="27" customHeight="1" thickBot="1" x14ac:dyDescent="0.3">
      <c r="A52" s="4"/>
      <c r="B52" s="2012" t="s">
        <v>2574</v>
      </c>
      <c r="C52" s="2012"/>
      <c r="D52" s="2018" t="s">
        <v>2540</v>
      </c>
      <c r="E52" s="2019"/>
      <c r="F52" s="4"/>
      <c r="G52" s="2012" t="s">
        <v>2552</v>
      </c>
      <c r="H52" s="2012"/>
      <c r="I52" s="2016">
        <v>0.1</v>
      </c>
      <c r="J52" s="2017"/>
      <c r="K52" s="4"/>
      <c r="L52" s="4"/>
      <c r="N52" s="35" t="s">
        <v>2609</v>
      </c>
      <c r="O52" s="1296">
        <v>0.2</v>
      </c>
    </row>
    <row r="53" spans="1:15" ht="24" customHeight="1" thickBot="1" x14ac:dyDescent="0.3">
      <c r="A53" s="4"/>
      <c r="B53" s="2012" t="s">
        <v>2575</v>
      </c>
      <c r="C53" s="2012"/>
      <c r="D53" s="2018" t="s">
        <v>773</v>
      </c>
      <c r="E53" s="2019"/>
      <c r="F53" s="4"/>
      <c r="G53" s="2012" t="s">
        <v>2553</v>
      </c>
      <c r="H53" s="2012"/>
      <c r="I53" s="2016">
        <v>0.3</v>
      </c>
      <c r="J53" s="2017"/>
      <c r="K53" s="4"/>
      <c r="L53" s="4"/>
      <c r="N53" s="35" t="s">
        <v>2615</v>
      </c>
      <c r="O53" s="1296">
        <v>0.3</v>
      </c>
    </row>
    <row r="54" spans="1:15" ht="24" customHeight="1" thickBot="1" x14ac:dyDescent="0.3">
      <c r="A54" s="4"/>
      <c r="B54" s="2012" t="s">
        <v>2576</v>
      </c>
      <c r="C54" s="2012"/>
      <c r="D54" s="2018" t="s">
        <v>2542</v>
      </c>
      <c r="E54" s="2019"/>
      <c r="F54" s="4"/>
      <c r="G54" s="2012" t="s">
        <v>2554</v>
      </c>
      <c r="H54" s="2012"/>
      <c r="I54" s="2016">
        <v>0.2</v>
      </c>
      <c r="J54" s="2017"/>
      <c r="K54" s="4"/>
      <c r="L54" s="4"/>
      <c r="N54" s="35" t="s">
        <v>2616</v>
      </c>
      <c r="O54" s="1296">
        <v>0.5</v>
      </c>
    </row>
    <row r="55" spans="1:15" ht="27" customHeight="1" x14ac:dyDescent="0.25">
      <c r="A55" s="4"/>
      <c r="B55" s="2030" t="s">
        <v>2577</v>
      </c>
      <c r="C55" s="2031"/>
      <c r="D55" s="2030" t="s">
        <v>2545</v>
      </c>
      <c r="E55" s="2031"/>
      <c r="F55" s="4"/>
      <c r="G55" s="2012" t="s">
        <v>2555</v>
      </c>
      <c r="H55" s="2012"/>
      <c r="I55" s="2016">
        <v>0.3</v>
      </c>
      <c r="J55" s="2017"/>
      <c r="K55" s="4"/>
      <c r="L55" s="4"/>
    </row>
    <row r="56" spans="1:15" ht="27" customHeight="1" x14ac:dyDescent="0.25">
      <c r="A56" s="4"/>
      <c r="B56" s="2032"/>
      <c r="C56" s="2033"/>
      <c r="D56" s="2032"/>
      <c r="E56" s="2033"/>
      <c r="F56" s="4"/>
      <c r="G56" s="2012" t="s">
        <v>2556</v>
      </c>
      <c r="H56" s="2012"/>
      <c r="I56" s="2016">
        <v>0.5</v>
      </c>
      <c r="J56" s="2017"/>
      <c r="K56" s="4"/>
      <c r="L56" s="4"/>
    </row>
    <row r="57" spans="1:15" ht="19.5" customHeight="1" x14ac:dyDescent="0.25">
      <c r="A57" s="4"/>
      <c r="B57" s="4"/>
      <c r="C57" s="4"/>
      <c r="D57" s="4"/>
      <c r="E57" s="4"/>
      <c r="F57" s="4"/>
      <c r="G57" s="4"/>
      <c r="H57" s="4"/>
      <c r="I57" s="4"/>
      <c r="J57" s="4"/>
      <c r="K57" s="4"/>
      <c r="L57" s="4"/>
    </row>
    <row r="58" spans="1:15" ht="27.75" customHeight="1" x14ac:dyDescent="0.25">
      <c r="A58" s="4"/>
      <c r="B58" s="2021" t="s">
        <v>2613</v>
      </c>
      <c r="C58" s="2021"/>
      <c r="D58" s="2021"/>
      <c r="E58" s="2021"/>
      <c r="F58" s="2021"/>
      <c r="G58" s="2021"/>
      <c r="H58" s="2021"/>
      <c r="I58" s="2021"/>
      <c r="J58" s="4"/>
      <c r="K58" s="4"/>
      <c r="L58" s="4"/>
    </row>
    <row r="59" spans="1:15" ht="9" customHeight="1" x14ac:dyDescent="0.25">
      <c r="A59" s="4"/>
      <c r="B59" s="4"/>
      <c r="C59" s="4"/>
      <c r="D59" s="4"/>
      <c r="E59" s="4"/>
      <c r="F59" s="4"/>
      <c r="G59" s="4"/>
      <c r="H59" s="4"/>
      <c r="I59" s="4"/>
      <c r="J59" s="4"/>
      <c r="K59" s="4"/>
      <c r="L59" s="4"/>
    </row>
    <row r="60" spans="1:15" ht="28.5" customHeight="1" x14ac:dyDescent="0.25">
      <c r="A60" s="4"/>
      <c r="B60" s="257" t="s">
        <v>323</v>
      </c>
      <c r="C60" s="258" t="s">
        <v>2593</v>
      </c>
      <c r="D60" s="2028" t="s">
        <v>2592</v>
      </c>
      <c r="E60" s="2028"/>
      <c r="F60" s="258" t="s">
        <v>2610</v>
      </c>
      <c r="G60" s="258" t="s">
        <v>2611</v>
      </c>
      <c r="H60" s="258" t="s">
        <v>765</v>
      </c>
      <c r="I60" s="2028" t="s">
        <v>12</v>
      </c>
      <c r="J60" s="2028"/>
      <c r="K60" s="2029"/>
      <c r="L60" s="4"/>
    </row>
    <row r="61" spans="1:15" x14ac:dyDescent="0.25">
      <c r="A61" s="4"/>
      <c r="B61" s="1994"/>
      <c r="C61" s="2022"/>
      <c r="D61" s="1994" t="s">
        <v>53</v>
      </c>
      <c r="E61" s="2000"/>
      <c r="F61" s="1285" t="s">
        <v>53</v>
      </c>
      <c r="G61" s="1997">
        <f>N61*(MIN(1,0.5+SUM(O61:O63)))</f>
        <v>0</v>
      </c>
      <c r="H61" s="2025">
        <f>IF(R61=1,MIN(C61*(G61*Q61+G62*Q62+G63*Q63)),MIN(C61,C61*(G61+G62+G63)))</f>
        <v>0</v>
      </c>
      <c r="I61" s="1634"/>
      <c r="J61" s="1634"/>
      <c r="K61" s="1634"/>
      <c r="L61" s="4"/>
      <c r="M61" s="1992">
        <f>IF(OR(D61=$N$40,D61=$N$39,D61=$N$37,D61=$N$38),1,0)</f>
        <v>0</v>
      </c>
      <c r="N61" s="1992">
        <f>IF(D61=$N$36,1,IF(OR(D61=$N$37,D61=$N$38,D61=$N$39),E61,IF(D61=$N$40,0.5*E61,IF(D61=$N$41,1,IF(D61=$N$42,0.8,IF(D61=$N$43,0.6,IF(D61=$N$44,0.4,0)))))))</f>
        <v>0</v>
      </c>
      <c r="O61" s="35">
        <f t="shared" ref="O61:O105" si="0">VLOOKUP(F61,$N$47:$O$54,2,0)</f>
        <v>0</v>
      </c>
    </row>
    <row r="62" spans="1:15" x14ac:dyDescent="0.25">
      <c r="A62" s="4"/>
      <c r="B62" s="1995"/>
      <c r="C62" s="2023"/>
      <c r="D62" s="1995"/>
      <c r="E62" s="2001"/>
      <c r="F62" s="1286" t="s">
        <v>53</v>
      </c>
      <c r="G62" s="1998"/>
      <c r="H62" s="2026"/>
      <c r="I62" s="1634"/>
      <c r="J62" s="1634"/>
      <c r="K62" s="1634"/>
      <c r="L62" s="4"/>
      <c r="M62" s="1992"/>
      <c r="N62" s="1992"/>
      <c r="O62" s="35">
        <f t="shared" si="0"/>
        <v>0</v>
      </c>
    </row>
    <row r="63" spans="1:15" ht="15.75" thickBot="1" x14ac:dyDescent="0.3">
      <c r="A63" s="4"/>
      <c r="B63" s="1996"/>
      <c r="C63" s="2024"/>
      <c r="D63" s="1996"/>
      <c r="E63" s="2002"/>
      <c r="F63" s="1290" t="s">
        <v>53</v>
      </c>
      <c r="G63" s="1999"/>
      <c r="H63" s="2027"/>
      <c r="I63" s="1993"/>
      <c r="J63" s="1993"/>
      <c r="K63" s="1993"/>
      <c r="L63" s="4"/>
      <c r="M63" s="1992"/>
      <c r="N63" s="1992"/>
      <c r="O63" s="35">
        <f t="shared" si="0"/>
        <v>0</v>
      </c>
    </row>
    <row r="64" spans="1:15" x14ac:dyDescent="0.25">
      <c r="A64" s="4"/>
      <c r="B64" s="1994"/>
      <c r="C64" s="2022"/>
      <c r="D64" s="1994" t="s">
        <v>53</v>
      </c>
      <c r="E64" s="2000"/>
      <c r="F64" s="1285" t="s">
        <v>53</v>
      </c>
      <c r="G64" s="1997">
        <f>N64*(MIN(1,0.5+SUM(O64:O66)))</f>
        <v>0</v>
      </c>
      <c r="H64" s="2025">
        <f>IF(R64=1,MIN(C64*(G64*Q64+G65*Q65+G66*Q66)),MIN(C64,C64*(G64+G65+G66)))</f>
        <v>0</v>
      </c>
      <c r="I64" s="1634"/>
      <c r="J64" s="1634"/>
      <c r="K64" s="1634"/>
      <c r="L64" s="4"/>
      <c r="M64" s="1992">
        <f>IF(OR(D64=$N$40,D64=$N$39,D64=$N$37,D64=$N$38),1,0)</f>
        <v>0</v>
      </c>
      <c r="N64" s="1992">
        <f t="shared" ref="N64" si="1">IF(D64=$N$36,1,IF(OR(D64=$N$37,D64=$N$38,D64=$N$39),E64,IF(D64=$N$40,0.5*E64,IF(D64=$N$41,1,IF(D64=$N$42,0.8,IF(D64=$N$43,0.6,IF(D64=$N$44,0.4,0)))))))</f>
        <v>0</v>
      </c>
      <c r="O64" s="35">
        <f t="shared" si="0"/>
        <v>0</v>
      </c>
    </row>
    <row r="65" spans="1:15" x14ac:dyDescent="0.25">
      <c r="A65" s="4"/>
      <c r="B65" s="1995"/>
      <c r="C65" s="2023"/>
      <c r="D65" s="1995"/>
      <c r="E65" s="2001"/>
      <c r="F65" s="1286" t="s">
        <v>53</v>
      </c>
      <c r="G65" s="1998"/>
      <c r="H65" s="2026"/>
      <c r="I65" s="1634"/>
      <c r="J65" s="1634"/>
      <c r="K65" s="1634"/>
      <c r="L65" s="4"/>
      <c r="M65" s="1992"/>
      <c r="N65" s="1992"/>
      <c r="O65" s="35">
        <f t="shared" si="0"/>
        <v>0</v>
      </c>
    </row>
    <row r="66" spans="1:15" ht="15.75" thickBot="1" x14ac:dyDescent="0.3">
      <c r="A66" s="4"/>
      <c r="B66" s="1996"/>
      <c r="C66" s="2024"/>
      <c r="D66" s="1996"/>
      <c r="E66" s="2002"/>
      <c r="F66" s="1290" t="s">
        <v>53</v>
      </c>
      <c r="G66" s="1999"/>
      <c r="H66" s="2027"/>
      <c r="I66" s="1993"/>
      <c r="J66" s="1993"/>
      <c r="K66" s="1993"/>
      <c r="L66" s="4"/>
      <c r="M66" s="1992"/>
      <c r="N66" s="1992"/>
      <c r="O66" s="35">
        <f t="shared" si="0"/>
        <v>0</v>
      </c>
    </row>
    <row r="67" spans="1:15" x14ac:dyDescent="0.25">
      <c r="A67" s="4"/>
      <c r="B67" s="1994"/>
      <c r="C67" s="2022"/>
      <c r="D67" s="1994" t="s">
        <v>53</v>
      </c>
      <c r="E67" s="2000"/>
      <c r="F67" s="1285" t="s">
        <v>53</v>
      </c>
      <c r="G67" s="1997">
        <f>N67*(MIN(1,0.5+SUM(O67:O69)))</f>
        <v>0</v>
      </c>
      <c r="H67" s="2025">
        <f>IF(R67=1,MIN(C67*(G67*Q67+G68*Q68+G69*Q69)),MIN(C67,C67*(G67+G68+G69)))</f>
        <v>0</v>
      </c>
      <c r="I67" s="1634"/>
      <c r="J67" s="1634"/>
      <c r="K67" s="1634"/>
      <c r="L67" s="4"/>
      <c r="M67" s="1992">
        <f t="shared" ref="M67" si="2">IF(OR(D67=$N$40,D67=$N$39,D67=$N$37,D67=$N$38),1,0)</f>
        <v>0</v>
      </c>
      <c r="N67" s="1992">
        <f t="shared" ref="N67" si="3">IF(D67=$N$36,1,IF(OR(D67=$N$37,D67=$N$38,D67=$N$39),E67,IF(D67=$N$40,0.5*E67,IF(D67=$N$41,1,IF(D67=$N$42,0.8,IF(D67=$N$43,0.6,IF(D67=$N$44,0.4,0)))))))</f>
        <v>0</v>
      </c>
      <c r="O67" s="35">
        <f t="shared" si="0"/>
        <v>0</v>
      </c>
    </row>
    <row r="68" spans="1:15" x14ac:dyDescent="0.25">
      <c r="A68" s="4"/>
      <c r="B68" s="1995"/>
      <c r="C68" s="2023"/>
      <c r="D68" s="1995"/>
      <c r="E68" s="2001"/>
      <c r="F68" s="1286" t="s">
        <v>53</v>
      </c>
      <c r="G68" s="1998"/>
      <c r="H68" s="2026"/>
      <c r="I68" s="1634"/>
      <c r="J68" s="1634"/>
      <c r="K68" s="1634"/>
      <c r="L68" s="4"/>
      <c r="M68" s="1992"/>
      <c r="N68" s="1992"/>
      <c r="O68" s="35">
        <f t="shared" si="0"/>
        <v>0</v>
      </c>
    </row>
    <row r="69" spans="1:15" ht="15.75" thickBot="1" x14ac:dyDescent="0.3">
      <c r="A69" s="4"/>
      <c r="B69" s="1996"/>
      <c r="C69" s="2024"/>
      <c r="D69" s="1996"/>
      <c r="E69" s="2002"/>
      <c r="F69" s="1290" t="s">
        <v>53</v>
      </c>
      <c r="G69" s="1999"/>
      <c r="H69" s="2027"/>
      <c r="I69" s="1993"/>
      <c r="J69" s="1993"/>
      <c r="K69" s="1993"/>
      <c r="L69" s="4"/>
      <c r="M69" s="1992"/>
      <c r="N69" s="1992"/>
      <c r="O69" s="35">
        <f t="shared" si="0"/>
        <v>0</v>
      </c>
    </row>
    <row r="70" spans="1:15" x14ac:dyDescent="0.25">
      <c r="A70" s="4"/>
      <c r="B70" s="1994"/>
      <c r="C70" s="2022"/>
      <c r="D70" s="1994" t="s">
        <v>53</v>
      </c>
      <c r="E70" s="2000"/>
      <c r="F70" s="1285" t="s">
        <v>53</v>
      </c>
      <c r="G70" s="1997">
        <f>N70*(MIN(1,0.5+SUM(O70:O72)))</f>
        <v>0</v>
      </c>
      <c r="H70" s="2025">
        <f>IF(R70=1,MIN(C70*(G70*Q70+G71*Q71+G72*Q72)),MIN(C70,C70*(G70+G71+G72)))</f>
        <v>0</v>
      </c>
      <c r="I70" s="1634"/>
      <c r="J70" s="1634"/>
      <c r="K70" s="1634"/>
      <c r="L70" s="4"/>
      <c r="M70" s="1992">
        <f t="shared" ref="M70" si="4">IF(OR(D70=$N$40,D70=$N$39,D70=$N$37,D70=$N$38),1,0)</f>
        <v>0</v>
      </c>
      <c r="N70" s="1992">
        <f t="shared" ref="N70" si="5">IF(D70=$N$36,1,IF(OR(D70=$N$37,D70=$N$38,D70=$N$39),E70,IF(D70=$N$40,0.5*E70,IF(D70=$N$41,1,IF(D70=$N$42,0.8,IF(D70=$N$43,0.6,IF(D70=$N$44,0.4,0)))))))</f>
        <v>0</v>
      </c>
      <c r="O70" s="35">
        <f t="shared" si="0"/>
        <v>0</v>
      </c>
    </row>
    <row r="71" spans="1:15" x14ac:dyDescent="0.25">
      <c r="A71" s="4"/>
      <c r="B71" s="1995"/>
      <c r="C71" s="2023"/>
      <c r="D71" s="1995"/>
      <c r="E71" s="2001"/>
      <c r="F71" s="1286" t="s">
        <v>53</v>
      </c>
      <c r="G71" s="1998"/>
      <c r="H71" s="2026"/>
      <c r="I71" s="1634"/>
      <c r="J71" s="1634"/>
      <c r="K71" s="1634"/>
      <c r="L71" s="4"/>
      <c r="M71" s="1992"/>
      <c r="N71" s="1992"/>
      <c r="O71" s="35">
        <f t="shared" si="0"/>
        <v>0</v>
      </c>
    </row>
    <row r="72" spans="1:15" ht="15.75" thickBot="1" x14ac:dyDescent="0.3">
      <c r="A72" s="4"/>
      <c r="B72" s="1996"/>
      <c r="C72" s="2024"/>
      <c r="D72" s="1996"/>
      <c r="E72" s="2002"/>
      <c r="F72" s="1290" t="s">
        <v>53</v>
      </c>
      <c r="G72" s="1999"/>
      <c r="H72" s="2027"/>
      <c r="I72" s="1993"/>
      <c r="J72" s="1993"/>
      <c r="K72" s="1993"/>
      <c r="L72" s="4"/>
      <c r="M72" s="1992"/>
      <c r="N72" s="1992"/>
      <c r="O72" s="35">
        <f t="shared" si="0"/>
        <v>0</v>
      </c>
    </row>
    <row r="73" spans="1:15" x14ac:dyDescent="0.25">
      <c r="A73" s="4"/>
      <c r="B73" s="1994"/>
      <c r="C73" s="2022"/>
      <c r="D73" s="1994" t="s">
        <v>53</v>
      </c>
      <c r="E73" s="2000"/>
      <c r="F73" s="1285" t="s">
        <v>53</v>
      </c>
      <c r="G73" s="1997">
        <f>N73*(MIN(1,0.5+SUM(O73:O75)))</f>
        <v>0</v>
      </c>
      <c r="H73" s="2025">
        <f>IF(R73=1,MIN(C73*(G73*Q73+G74*Q74+G75*Q75)),MIN(C73,C73*(G73+G74+G75)))</f>
        <v>0</v>
      </c>
      <c r="I73" s="1634"/>
      <c r="J73" s="1634"/>
      <c r="K73" s="1634"/>
      <c r="L73" s="4"/>
      <c r="M73" s="1992">
        <f t="shared" ref="M73" si="6">IF(OR(D73=$N$40,D73=$N$39,D73=$N$37,D73=$N$38),1,0)</f>
        <v>0</v>
      </c>
      <c r="N73" s="1992">
        <f t="shared" ref="N73" si="7">IF(D73=$N$36,1,IF(OR(D73=$N$37,D73=$N$38,D73=$N$39),E73,IF(D73=$N$40,0.5*E73,IF(D73=$N$41,1,IF(D73=$N$42,0.8,IF(D73=$N$43,0.6,IF(D73=$N$44,0.4,0)))))))</f>
        <v>0</v>
      </c>
      <c r="O73" s="35">
        <f t="shared" si="0"/>
        <v>0</v>
      </c>
    </row>
    <row r="74" spans="1:15" x14ac:dyDescent="0.25">
      <c r="A74" s="4"/>
      <c r="B74" s="1995"/>
      <c r="C74" s="2023"/>
      <c r="D74" s="1995"/>
      <c r="E74" s="2001"/>
      <c r="F74" s="1286" t="s">
        <v>53</v>
      </c>
      <c r="G74" s="1998"/>
      <c r="H74" s="2026"/>
      <c r="I74" s="1634"/>
      <c r="J74" s="1634"/>
      <c r="K74" s="1634"/>
      <c r="L74" s="4"/>
      <c r="M74" s="1992"/>
      <c r="N74" s="1992"/>
      <c r="O74" s="35">
        <f t="shared" si="0"/>
        <v>0</v>
      </c>
    </row>
    <row r="75" spans="1:15" ht="15.75" thickBot="1" x14ac:dyDescent="0.3">
      <c r="A75" s="4"/>
      <c r="B75" s="1996"/>
      <c r="C75" s="2024"/>
      <c r="D75" s="1996"/>
      <c r="E75" s="2002"/>
      <c r="F75" s="1290" t="s">
        <v>53</v>
      </c>
      <c r="G75" s="1999"/>
      <c r="H75" s="2027"/>
      <c r="I75" s="1993"/>
      <c r="J75" s="1993"/>
      <c r="K75" s="1993"/>
      <c r="L75" s="4"/>
      <c r="M75" s="1992"/>
      <c r="N75" s="1992"/>
      <c r="O75" s="35">
        <f t="shared" si="0"/>
        <v>0</v>
      </c>
    </row>
    <row r="76" spans="1:15" x14ac:dyDescent="0.25">
      <c r="A76" s="4"/>
      <c r="B76" s="1994"/>
      <c r="C76" s="2022"/>
      <c r="D76" s="1994" t="s">
        <v>53</v>
      </c>
      <c r="E76" s="2000"/>
      <c r="F76" s="1285" t="s">
        <v>53</v>
      </c>
      <c r="G76" s="1997">
        <f>N76*(MIN(1,0.5+SUM(O76:O78)))</f>
        <v>0</v>
      </c>
      <c r="H76" s="2025">
        <f>IF(R76=1,MIN(C76*(G76*Q76+G77*Q77+G78*Q78)),MIN(C76,C76*(G76+G77+G78)))</f>
        <v>0</v>
      </c>
      <c r="I76" s="1634"/>
      <c r="J76" s="1634"/>
      <c r="K76" s="1634"/>
      <c r="L76" s="4"/>
      <c r="M76" s="1992">
        <f t="shared" ref="M76" si="8">IF(OR(D76=$N$40,D76=$N$39,D76=$N$37,D76=$N$38),1,0)</f>
        <v>0</v>
      </c>
      <c r="N76" s="1992">
        <f t="shared" ref="N76" si="9">IF(D76=$N$36,1,IF(OR(D76=$N$37,D76=$N$38,D76=$N$39),E76,IF(D76=$N$40,0.5*E76,IF(D76=$N$41,1,IF(D76=$N$42,0.8,IF(D76=$N$43,0.6,IF(D76=$N$44,0.4,0)))))))</f>
        <v>0</v>
      </c>
      <c r="O76" s="35">
        <f t="shared" si="0"/>
        <v>0</v>
      </c>
    </row>
    <row r="77" spans="1:15" x14ac:dyDescent="0.25">
      <c r="A77" s="4"/>
      <c r="B77" s="1995"/>
      <c r="C77" s="2023"/>
      <c r="D77" s="1995"/>
      <c r="E77" s="2001"/>
      <c r="F77" s="1286" t="s">
        <v>53</v>
      </c>
      <c r="G77" s="1998"/>
      <c r="H77" s="2026"/>
      <c r="I77" s="1634"/>
      <c r="J77" s="1634"/>
      <c r="K77" s="1634"/>
      <c r="L77" s="4"/>
      <c r="M77" s="1992"/>
      <c r="N77" s="1992"/>
      <c r="O77" s="35">
        <f t="shared" si="0"/>
        <v>0</v>
      </c>
    </row>
    <row r="78" spans="1:15" ht="15.75" thickBot="1" x14ac:dyDescent="0.3">
      <c r="A78" s="4"/>
      <c r="B78" s="1996"/>
      <c r="C78" s="2024"/>
      <c r="D78" s="1996"/>
      <c r="E78" s="2002"/>
      <c r="F78" s="1290" t="s">
        <v>53</v>
      </c>
      <c r="G78" s="1999"/>
      <c r="H78" s="2027"/>
      <c r="I78" s="1993"/>
      <c r="J78" s="1993"/>
      <c r="K78" s="1993"/>
      <c r="L78" s="4"/>
      <c r="M78" s="1992"/>
      <c r="N78" s="1992"/>
      <c r="O78" s="35">
        <f t="shared" si="0"/>
        <v>0</v>
      </c>
    </row>
    <row r="79" spans="1:15" x14ac:dyDescent="0.25">
      <c r="A79" s="4"/>
      <c r="B79" s="1994"/>
      <c r="C79" s="2022"/>
      <c r="D79" s="1994" t="s">
        <v>53</v>
      </c>
      <c r="E79" s="2000"/>
      <c r="F79" s="1285" t="s">
        <v>53</v>
      </c>
      <c r="G79" s="1997">
        <f>N79*(MIN(1,0.5+SUM(O79:O81)))</f>
        <v>0</v>
      </c>
      <c r="H79" s="2025">
        <f>IF(R79=1,MIN(C79*(G79*Q79+G80*Q80+G81*Q81)),MIN(C79,C79*(G79+G80+G81)))</f>
        <v>0</v>
      </c>
      <c r="I79" s="1634"/>
      <c r="J79" s="1634"/>
      <c r="K79" s="1634"/>
      <c r="L79" s="4"/>
      <c r="M79" s="1992">
        <f t="shared" ref="M79" si="10">IF(OR(D79=$N$40,D79=$N$39,D79=$N$37,D79=$N$38),1,0)</f>
        <v>0</v>
      </c>
      <c r="N79" s="1992">
        <f t="shared" ref="N79" si="11">IF(D79=$N$36,1,IF(OR(D79=$N$37,D79=$N$38,D79=$N$39),E79,IF(D79=$N$40,0.5*E79,IF(D79=$N$41,1,IF(D79=$N$42,0.8,IF(D79=$N$43,0.6,IF(D79=$N$44,0.4,0)))))))</f>
        <v>0</v>
      </c>
      <c r="O79" s="35">
        <f t="shared" si="0"/>
        <v>0</v>
      </c>
    </row>
    <row r="80" spans="1:15" x14ac:dyDescent="0.25">
      <c r="A80" s="4"/>
      <c r="B80" s="1995"/>
      <c r="C80" s="2023"/>
      <c r="D80" s="1995"/>
      <c r="E80" s="2001"/>
      <c r="F80" s="1286" t="s">
        <v>53</v>
      </c>
      <c r="G80" s="1998"/>
      <c r="H80" s="2026"/>
      <c r="I80" s="1634"/>
      <c r="J80" s="1634"/>
      <c r="K80" s="1634"/>
      <c r="L80" s="4"/>
      <c r="M80" s="1992"/>
      <c r="N80" s="1992"/>
      <c r="O80" s="35">
        <f t="shared" si="0"/>
        <v>0</v>
      </c>
    </row>
    <row r="81" spans="1:15" ht="15.75" thickBot="1" x14ac:dyDescent="0.3">
      <c r="A81" s="4"/>
      <c r="B81" s="1996"/>
      <c r="C81" s="2024"/>
      <c r="D81" s="1996"/>
      <c r="E81" s="2002"/>
      <c r="F81" s="1290" t="s">
        <v>53</v>
      </c>
      <c r="G81" s="1999"/>
      <c r="H81" s="2027"/>
      <c r="I81" s="1993"/>
      <c r="J81" s="1993"/>
      <c r="K81" s="1993"/>
      <c r="L81" s="4"/>
      <c r="M81" s="1992"/>
      <c r="N81" s="1992"/>
      <c r="O81" s="35">
        <f t="shared" si="0"/>
        <v>0</v>
      </c>
    </row>
    <row r="82" spans="1:15" x14ac:dyDescent="0.25">
      <c r="A82" s="4"/>
      <c r="B82" s="1994"/>
      <c r="C82" s="2022"/>
      <c r="D82" s="1994" t="s">
        <v>53</v>
      </c>
      <c r="E82" s="2000"/>
      <c r="F82" s="1285" t="s">
        <v>53</v>
      </c>
      <c r="G82" s="1997">
        <f>N82*(MIN(1,0.5+SUM(O82:O84)))</f>
        <v>0</v>
      </c>
      <c r="H82" s="2025">
        <f>IF(R82=1,MIN(C82*(G82*Q82+G83*Q83+G84*Q84)),MIN(C82,C82*(G82+G83+G84)))</f>
        <v>0</v>
      </c>
      <c r="I82" s="1634"/>
      <c r="J82" s="1634"/>
      <c r="K82" s="1634"/>
      <c r="L82" s="4"/>
      <c r="M82" s="1992">
        <f t="shared" ref="M82" si="12">IF(OR(D82=$N$40,D82=$N$39,D82=$N$37,D82=$N$38),1,0)</f>
        <v>0</v>
      </c>
      <c r="N82" s="1992">
        <f t="shared" ref="N82" si="13">IF(D82=$N$36,1,IF(OR(D82=$N$37,D82=$N$38,D82=$N$39),E82,IF(D82=$N$40,0.5*E82,IF(D82=$N$41,1,IF(D82=$N$42,0.8,IF(D82=$N$43,0.6,IF(D82=$N$44,0.4,0)))))))</f>
        <v>0</v>
      </c>
      <c r="O82" s="35">
        <f t="shared" si="0"/>
        <v>0</v>
      </c>
    </row>
    <row r="83" spans="1:15" x14ac:dyDescent="0.25">
      <c r="A83" s="4"/>
      <c r="B83" s="1995"/>
      <c r="C83" s="2023"/>
      <c r="D83" s="1995"/>
      <c r="E83" s="2001"/>
      <c r="F83" s="1286" t="s">
        <v>53</v>
      </c>
      <c r="G83" s="1998"/>
      <c r="H83" s="2026"/>
      <c r="I83" s="1634"/>
      <c r="J83" s="1634"/>
      <c r="K83" s="1634"/>
      <c r="L83" s="4"/>
      <c r="M83" s="1992"/>
      <c r="N83" s="1992"/>
      <c r="O83" s="35">
        <f t="shared" si="0"/>
        <v>0</v>
      </c>
    </row>
    <row r="84" spans="1:15" ht="15.75" thickBot="1" x14ac:dyDescent="0.3">
      <c r="A84" s="4"/>
      <c r="B84" s="1996"/>
      <c r="C84" s="2024"/>
      <c r="D84" s="1996"/>
      <c r="E84" s="2002"/>
      <c r="F84" s="1290" t="s">
        <v>53</v>
      </c>
      <c r="G84" s="1999"/>
      <c r="H84" s="2027"/>
      <c r="I84" s="1993"/>
      <c r="J84" s="1993"/>
      <c r="K84" s="1993"/>
      <c r="L84" s="4"/>
      <c r="M84" s="1992"/>
      <c r="N84" s="1992"/>
      <c r="O84" s="35">
        <f t="shared" si="0"/>
        <v>0</v>
      </c>
    </row>
    <row r="85" spans="1:15" x14ac:dyDescent="0.25">
      <c r="A85" s="4"/>
      <c r="B85" s="1994"/>
      <c r="C85" s="2022"/>
      <c r="D85" s="1994" t="s">
        <v>53</v>
      </c>
      <c r="E85" s="2000"/>
      <c r="F85" s="1285" t="s">
        <v>53</v>
      </c>
      <c r="G85" s="1997">
        <f>N85*(MIN(1,0.5+SUM(O85:O87)))</f>
        <v>0</v>
      </c>
      <c r="H85" s="2025">
        <f>IF(R85=1,MIN(C85*(G85*Q85+G86*Q86+G87*Q87)),MIN(C85,C85*(G85+G86+G87)))</f>
        <v>0</v>
      </c>
      <c r="I85" s="1634"/>
      <c r="J85" s="1634"/>
      <c r="K85" s="1634"/>
      <c r="L85" s="4"/>
      <c r="M85" s="1992">
        <f t="shared" ref="M85" si="14">IF(OR(D85=$N$40,D85=$N$39,D85=$N$37,D85=$N$38),1,0)</f>
        <v>0</v>
      </c>
      <c r="N85" s="1992">
        <f t="shared" ref="N85" si="15">IF(D85=$N$36,1,IF(OR(D85=$N$37,D85=$N$38,D85=$N$39),E85,IF(D85=$N$40,0.5*E85,IF(D85=$N$41,1,IF(D85=$N$42,0.8,IF(D85=$N$43,0.6,IF(D85=$N$44,0.4,0)))))))</f>
        <v>0</v>
      </c>
      <c r="O85" s="35">
        <f t="shared" si="0"/>
        <v>0</v>
      </c>
    </row>
    <row r="86" spans="1:15" x14ac:dyDescent="0.25">
      <c r="A86" s="4"/>
      <c r="B86" s="1995"/>
      <c r="C86" s="2023"/>
      <c r="D86" s="1995"/>
      <c r="E86" s="2001"/>
      <c r="F86" s="1286" t="s">
        <v>53</v>
      </c>
      <c r="G86" s="1998"/>
      <c r="H86" s="2026"/>
      <c r="I86" s="1634"/>
      <c r="J86" s="1634"/>
      <c r="K86" s="1634"/>
      <c r="L86" s="4"/>
      <c r="M86" s="1992"/>
      <c r="N86" s="1992"/>
      <c r="O86" s="35">
        <f t="shared" si="0"/>
        <v>0</v>
      </c>
    </row>
    <row r="87" spans="1:15" ht="15.75" thickBot="1" x14ac:dyDescent="0.3">
      <c r="A87" s="4"/>
      <c r="B87" s="1996"/>
      <c r="C87" s="2024"/>
      <c r="D87" s="1996"/>
      <c r="E87" s="2002"/>
      <c r="F87" s="1290" t="s">
        <v>53</v>
      </c>
      <c r="G87" s="1999"/>
      <c r="H87" s="2027"/>
      <c r="I87" s="1993"/>
      <c r="J87" s="1993"/>
      <c r="K87" s="1993"/>
      <c r="L87" s="4"/>
      <c r="M87" s="1992"/>
      <c r="N87" s="1992"/>
      <c r="O87" s="35">
        <f t="shared" si="0"/>
        <v>0</v>
      </c>
    </row>
    <row r="88" spans="1:15" x14ac:dyDescent="0.25">
      <c r="A88" s="4"/>
      <c r="B88" s="1994"/>
      <c r="C88" s="2022"/>
      <c r="D88" s="1994" t="s">
        <v>53</v>
      </c>
      <c r="E88" s="2000"/>
      <c r="F88" s="1285" t="s">
        <v>53</v>
      </c>
      <c r="G88" s="1997">
        <f>N88*(MIN(1,0.5+SUM(O88:O90)))</f>
        <v>0</v>
      </c>
      <c r="H88" s="2025">
        <f>IF(R88=1,MIN(C88*(G88*Q88+G89*Q89+G90*Q90)),MIN(C88,C88*(G88+G89+G90)))</f>
        <v>0</v>
      </c>
      <c r="I88" s="1634"/>
      <c r="J88" s="1634"/>
      <c r="K88" s="1634"/>
      <c r="L88" s="4"/>
      <c r="M88" s="1992">
        <f t="shared" ref="M88" si="16">IF(OR(D88=$N$40,D88=$N$39,D88=$N$37,D88=$N$38),1,0)</f>
        <v>0</v>
      </c>
      <c r="N88" s="1992">
        <f t="shared" ref="N88" si="17">IF(D88=$N$36,1,IF(OR(D88=$N$37,D88=$N$38,D88=$N$39),E88,IF(D88=$N$40,0.5*E88,IF(D88=$N$41,1,IF(D88=$N$42,0.8,IF(D88=$N$43,0.6,IF(D88=$N$44,0.4,0)))))))</f>
        <v>0</v>
      </c>
      <c r="O88" s="35">
        <f t="shared" si="0"/>
        <v>0</v>
      </c>
    </row>
    <row r="89" spans="1:15" x14ac:dyDescent="0.25">
      <c r="A89" s="4"/>
      <c r="B89" s="1995"/>
      <c r="C89" s="2023"/>
      <c r="D89" s="1995"/>
      <c r="E89" s="2001"/>
      <c r="F89" s="1286" t="s">
        <v>53</v>
      </c>
      <c r="G89" s="1998"/>
      <c r="H89" s="2026"/>
      <c r="I89" s="1634"/>
      <c r="J89" s="1634"/>
      <c r="K89" s="1634"/>
      <c r="L89" s="4"/>
      <c r="M89" s="1992"/>
      <c r="N89" s="1992"/>
      <c r="O89" s="35">
        <f t="shared" si="0"/>
        <v>0</v>
      </c>
    </row>
    <row r="90" spans="1:15" ht="15.75" thickBot="1" x14ac:dyDescent="0.3">
      <c r="A90" s="4"/>
      <c r="B90" s="1996"/>
      <c r="C90" s="2024"/>
      <c r="D90" s="1996"/>
      <c r="E90" s="2002"/>
      <c r="F90" s="1290" t="s">
        <v>53</v>
      </c>
      <c r="G90" s="1999"/>
      <c r="H90" s="2027"/>
      <c r="I90" s="1993"/>
      <c r="J90" s="1993"/>
      <c r="K90" s="1993"/>
      <c r="L90" s="4"/>
      <c r="M90" s="1992"/>
      <c r="N90" s="1992"/>
      <c r="O90" s="35">
        <f t="shared" si="0"/>
        <v>0</v>
      </c>
    </row>
    <row r="91" spans="1:15" x14ac:dyDescent="0.25">
      <c r="A91" s="4"/>
      <c r="B91" s="1994"/>
      <c r="C91" s="2022"/>
      <c r="D91" s="1994" t="s">
        <v>53</v>
      </c>
      <c r="E91" s="2000"/>
      <c r="F91" s="1285" t="s">
        <v>53</v>
      </c>
      <c r="G91" s="1997">
        <f>N91*(MIN(1,0.5+SUM(O91:O93)))</f>
        <v>0</v>
      </c>
      <c r="H91" s="2025">
        <f>IF(R91=1,MIN(C91*(G91*Q91+G92*Q92+G93*Q93)),MIN(C91,C91*(G91+G92+G93)))</f>
        <v>0</v>
      </c>
      <c r="I91" s="1634"/>
      <c r="J91" s="1634"/>
      <c r="K91" s="1634"/>
      <c r="L91" s="4"/>
      <c r="M91" s="1992">
        <f t="shared" ref="M91" si="18">IF(OR(D91=$N$40,D91=$N$39,D91=$N$37,D91=$N$38),1,0)</f>
        <v>0</v>
      </c>
      <c r="N91" s="1992">
        <f t="shared" ref="N91" si="19">IF(D91=$N$36,1,IF(OR(D91=$N$37,D91=$N$38,D91=$N$39),E91,IF(D91=$N$40,0.5*E91,IF(D91=$N$41,1,IF(D91=$N$42,0.8,IF(D91=$N$43,0.6,IF(D91=$N$44,0.4,0)))))))</f>
        <v>0</v>
      </c>
      <c r="O91" s="35">
        <f t="shared" si="0"/>
        <v>0</v>
      </c>
    </row>
    <row r="92" spans="1:15" x14ac:dyDescent="0.25">
      <c r="A92" s="4"/>
      <c r="B92" s="1995"/>
      <c r="C92" s="2023"/>
      <c r="D92" s="1995"/>
      <c r="E92" s="2001"/>
      <c r="F92" s="1286" t="s">
        <v>53</v>
      </c>
      <c r="G92" s="1998"/>
      <c r="H92" s="2026"/>
      <c r="I92" s="1634"/>
      <c r="J92" s="1634"/>
      <c r="K92" s="1634"/>
      <c r="L92" s="4"/>
      <c r="M92" s="1992"/>
      <c r="N92" s="1992"/>
      <c r="O92" s="35">
        <f t="shared" si="0"/>
        <v>0</v>
      </c>
    </row>
    <row r="93" spans="1:15" ht="15.75" thickBot="1" x14ac:dyDescent="0.3">
      <c r="A93" s="4"/>
      <c r="B93" s="1996"/>
      <c r="C93" s="2024"/>
      <c r="D93" s="1996"/>
      <c r="E93" s="2002"/>
      <c r="F93" s="1290" t="s">
        <v>53</v>
      </c>
      <c r="G93" s="1999"/>
      <c r="H93" s="2027"/>
      <c r="I93" s="1993"/>
      <c r="J93" s="1993"/>
      <c r="K93" s="1993"/>
      <c r="L93" s="4"/>
      <c r="M93" s="1992"/>
      <c r="N93" s="1992"/>
      <c r="O93" s="35">
        <f t="shared" si="0"/>
        <v>0</v>
      </c>
    </row>
    <row r="94" spans="1:15" x14ac:dyDescent="0.25">
      <c r="A94" s="4"/>
      <c r="B94" s="1994"/>
      <c r="C94" s="2022"/>
      <c r="D94" s="1994" t="s">
        <v>53</v>
      </c>
      <c r="E94" s="2000"/>
      <c r="F94" s="1285" t="s">
        <v>53</v>
      </c>
      <c r="G94" s="1997">
        <f>N94*(MIN(1,0.5+SUM(O94:O96)))</f>
        <v>0</v>
      </c>
      <c r="H94" s="2025">
        <f>IF(R94=1,MIN(C94*(G94*Q94+G95*Q95+G96*Q96)),MIN(C94,C94*(G94+G95+G96)))</f>
        <v>0</v>
      </c>
      <c r="I94" s="1634"/>
      <c r="J94" s="1634"/>
      <c r="K94" s="1634"/>
      <c r="L94" s="4"/>
      <c r="M94" s="1992">
        <f t="shared" ref="M94" si="20">IF(OR(D94=$N$40,D94=$N$39,D94=$N$37,D94=$N$38),1,0)</f>
        <v>0</v>
      </c>
      <c r="N94" s="1992">
        <f t="shared" ref="N94" si="21">IF(D94=$N$36,1,IF(OR(D94=$N$37,D94=$N$38,D94=$N$39),E94,IF(D94=$N$40,0.5*E94,IF(D94=$N$41,1,IF(D94=$N$42,0.8,IF(D94=$N$43,0.6,IF(D94=$N$44,0.4,0)))))))</f>
        <v>0</v>
      </c>
      <c r="O94" s="35">
        <f t="shared" si="0"/>
        <v>0</v>
      </c>
    </row>
    <row r="95" spans="1:15" x14ac:dyDescent="0.25">
      <c r="A95" s="4"/>
      <c r="B95" s="1995"/>
      <c r="C95" s="2023"/>
      <c r="D95" s="1995"/>
      <c r="E95" s="2001"/>
      <c r="F95" s="1286" t="s">
        <v>53</v>
      </c>
      <c r="G95" s="1998"/>
      <c r="H95" s="2026"/>
      <c r="I95" s="1634"/>
      <c r="J95" s="1634"/>
      <c r="K95" s="1634"/>
      <c r="L95" s="4"/>
      <c r="M95" s="1992"/>
      <c r="N95" s="1992"/>
      <c r="O95" s="35">
        <f t="shared" si="0"/>
        <v>0</v>
      </c>
    </row>
    <row r="96" spans="1:15" ht="15.75" thickBot="1" x14ac:dyDescent="0.3">
      <c r="A96" s="4"/>
      <c r="B96" s="1996"/>
      <c r="C96" s="2024"/>
      <c r="D96" s="1996"/>
      <c r="E96" s="2002"/>
      <c r="F96" s="1290" t="s">
        <v>53</v>
      </c>
      <c r="G96" s="1999"/>
      <c r="H96" s="2027"/>
      <c r="I96" s="1993"/>
      <c r="J96" s="1993"/>
      <c r="K96" s="1993"/>
      <c r="L96" s="4"/>
      <c r="M96" s="1992"/>
      <c r="N96" s="1992"/>
      <c r="O96" s="35">
        <f t="shared" si="0"/>
        <v>0</v>
      </c>
    </row>
    <row r="97" spans="1:17" x14ac:dyDescent="0.25">
      <c r="A97" s="4"/>
      <c r="B97" s="1994"/>
      <c r="C97" s="2022"/>
      <c r="D97" s="1994" t="s">
        <v>53</v>
      </c>
      <c r="E97" s="2000"/>
      <c r="F97" s="1285" t="s">
        <v>53</v>
      </c>
      <c r="G97" s="1997">
        <f>N97*(MIN(1,0.5+SUM(O97:O99)))</f>
        <v>0</v>
      </c>
      <c r="H97" s="2025">
        <f>IF(R97=1,MIN(C97*(G97*Q97+G98*Q98+G99*Q99)),MIN(C97,C97*(G97+G98+G99)))</f>
        <v>0</v>
      </c>
      <c r="I97" s="1634"/>
      <c r="J97" s="1634"/>
      <c r="K97" s="1634"/>
      <c r="L97" s="4"/>
      <c r="M97" s="1992">
        <f t="shared" ref="M97" si="22">IF(OR(D97=$N$40,D97=$N$39,D97=$N$37,D97=$N$38),1,0)</f>
        <v>0</v>
      </c>
      <c r="N97" s="1992">
        <f t="shared" ref="N97" si="23">IF(D97=$N$36,1,IF(OR(D97=$N$37,D97=$N$38,D97=$N$39),E97,IF(D97=$N$40,0.5*E97,IF(D97=$N$41,1,IF(D97=$N$42,0.8,IF(D97=$N$43,0.6,IF(D97=$N$44,0.4,0)))))))</f>
        <v>0</v>
      </c>
      <c r="O97" s="35">
        <f t="shared" si="0"/>
        <v>0</v>
      </c>
    </row>
    <row r="98" spans="1:17" x14ac:dyDescent="0.25">
      <c r="A98" s="4"/>
      <c r="B98" s="1995"/>
      <c r="C98" s="2023"/>
      <c r="D98" s="1995"/>
      <c r="E98" s="2001"/>
      <c r="F98" s="1286" t="s">
        <v>53</v>
      </c>
      <c r="G98" s="1998"/>
      <c r="H98" s="2026"/>
      <c r="I98" s="1634"/>
      <c r="J98" s="1634"/>
      <c r="K98" s="1634"/>
      <c r="L98" s="4"/>
      <c r="M98" s="1992"/>
      <c r="N98" s="1992"/>
      <c r="O98" s="35">
        <f t="shared" si="0"/>
        <v>0</v>
      </c>
    </row>
    <row r="99" spans="1:17" ht="15.75" thickBot="1" x14ac:dyDescent="0.3">
      <c r="A99" s="4"/>
      <c r="B99" s="1996"/>
      <c r="C99" s="2024"/>
      <c r="D99" s="1996"/>
      <c r="E99" s="2002"/>
      <c r="F99" s="1290" t="s">
        <v>53</v>
      </c>
      <c r="G99" s="1999"/>
      <c r="H99" s="2027"/>
      <c r="I99" s="1993"/>
      <c r="J99" s="1993"/>
      <c r="K99" s="1993"/>
      <c r="L99" s="4"/>
      <c r="M99" s="1992"/>
      <c r="N99" s="1992"/>
      <c r="O99" s="35">
        <f t="shared" si="0"/>
        <v>0</v>
      </c>
    </row>
    <row r="100" spans="1:17" x14ac:dyDescent="0.25">
      <c r="A100" s="4"/>
      <c r="B100" s="1994"/>
      <c r="C100" s="2022"/>
      <c r="D100" s="1994" t="s">
        <v>53</v>
      </c>
      <c r="E100" s="2000"/>
      <c r="F100" s="1285" t="s">
        <v>53</v>
      </c>
      <c r="G100" s="1997">
        <f>N100*(MIN(1,0.5+SUM(O100:O102)))</f>
        <v>0</v>
      </c>
      <c r="H100" s="2025">
        <f>IF(R100=1,MIN(C100*(G100*Q100+G101*Q101+G102*Q102)),MIN(C100,C100*(G100+G101+G102)))</f>
        <v>0</v>
      </c>
      <c r="I100" s="1634"/>
      <c r="J100" s="1634"/>
      <c r="K100" s="1634"/>
      <c r="L100" s="4"/>
      <c r="M100" s="1992">
        <f t="shared" ref="M100" si="24">IF(OR(D100=$N$40,D100=$N$39,D100=$N$37,D100=$N$38),1,0)</f>
        <v>0</v>
      </c>
      <c r="N100" s="1992">
        <f t="shared" ref="N100" si="25">IF(D100=$N$36,1,IF(OR(D100=$N$37,D100=$N$38,D100=$N$39),E100,IF(D100=$N$40,0.5*E100,IF(D100=$N$41,1,IF(D100=$N$42,0.8,IF(D100=$N$43,0.6,IF(D100=$N$44,0.4,0)))))))</f>
        <v>0</v>
      </c>
      <c r="O100" s="35">
        <f t="shared" si="0"/>
        <v>0</v>
      </c>
    </row>
    <row r="101" spans="1:17" x14ac:dyDescent="0.25">
      <c r="A101" s="4"/>
      <c r="B101" s="1995"/>
      <c r="C101" s="2023"/>
      <c r="D101" s="1995"/>
      <c r="E101" s="2001"/>
      <c r="F101" s="1286" t="s">
        <v>53</v>
      </c>
      <c r="G101" s="1998"/>
      <c r="H101" s="2026"/>
      <c r="I101" s="1634"/>
      <c r="J101" s="1634"/>
      <c r="K101" s="1634"/>
      <c r="L101" s="4"/>
      <c r="M101" s="1992"/>
      <c r="N101" s="1992"/>
      <c r="O101" s="35">
        <f t="shared" si="0"/>
        <v>0</v>
      </c>
    </row>
    <row r="102" spans="1:17" ht="15.75" thickBot="1" x14ac:dyDescent="0.3">
      <c r="A102" s="4"/>
      <c r="B102" s="1996"/>
      <c r="C102" s="2024"/>
      <c r="D102" s="1996"/>
      <c r="E102" s="2002"/>
      <c r="F102" s="1290" t="s">
        <v>53</v>
      </c>
      <c r="G102" s="1999"/>
      <c r="H102" s="2027"/>
      <c r="I102" s="1993"/>
      <c r="J102" s="1993"/>
      <c r="K102" s="1993"/>
      <c r="L102" s="4"/>
      <c r="M102" s="1992"/>
      <c r="N102" s="1992"/>
      <c r="O102" s="35">
        <f t="shared" si="0"/>
        <v>0</v>
      </c>
    </row>
    <row r="103" spans="1:17" x14ac:dyDescent="0.25">
      <c r="A103" s="4"/>
      <c r="B103" s="1994"/>
      <c r="C103" s="2022"/>
      <c r="D103" s="1994" t="s">
        <v>53</v>
      </c>
      <c r="E103" s="2000"/>
      <c r="F103" s="1285" t="s">
        <v>53</v>
      </c>
      <c r="G103" s="1997">
        <f>N103*(MIN(1,0.5+SUM(O103:O105)))</f>
        <v>0</v>
      </c>
      <c r="H103" s="2025">
        <f>IF(R103=1,MIN(C103*(G103*Q103+G104*Q104+G105*Q105)),MIN(C103,C103*(G103+G104+G105)))</f>
        <v>0</v>
      </c>
      <c r="I103" s="1634"/>
      <c r="J103" s="1634"/>
      <c r="K103" s="1634"/>
      <c r="L103" s="4"/>
      <c r="M103" s="1992">
        <f t="shared" ref="M103" si="26">IF(OR(D103=$N$40,D103=$N$39,D103=$N$37,D103=$N$38),1,0)</f>
        <v>0</v>
      </c>
      <c r="N103" s="1992">
        <f t="shared" ref="N103" si="27">IF(D103=$N$36,1,IF(OR(D103=$N$37,D103=$N$38,D103=$N$39),E103,IF(D103=$N$40,0.5*E103,IF(D103=$N$41,1,IF(D103=$N$42,0.8,IF(D103=$N$43,0.6,IF(D103=$N$44,0.4,0)))))))</f>
        <v>0</v>
      </c>
      <c r="O103" s="35">
        <f t="shared" si="0"/>
        <v>0</v>
      </c>
    </row>
    <row r="104" spans="1:17" x14ac:dyDescent="0.25">
      <c r="A104" s="4"/>
      <c r="B104" s="1995"/>
      <c r="C104" s="2023"/>
      <c r="D104" s="1995"/>
      <c r="E104" s="2001"/>
      <c r="F104" s="1286" t="s">
        <v>53</v>
      </c>
      <c r="G104" s="1998"/>
      <c r="H104" s="2026"/>
      <c r="I104" s="1634"/>
      <c r="J104" s="1634"/>
      <c r="K104" s="1634"/>
      <c r="L104" s="4"/>
      <c r="M104" s="1992"/>
      <c r="N104" s="1992"/>
      <c r="O104" s="35">
        <f t="shared" si="0"/>
        <v>0</v>
      </c>
    </row>
    <row r="105" spans="1:17" ht="15.75" thickBot="1" x14ac:dyDescent="0.3">
      <c r="A105" s="4"/>
      <c r="B105" s="1996"/>
      <c r="C105" s="2024"/>
      <c r="D105" s="1996"/>
      <c r="E105" s="2002"/>
      <c r="F105" s="1290" t="s">
        <v>53</v>
      </c>
      <c r="G105" s="1999"/>
      <c r="H105" s="2027"/>
      <c r="I105" s="1993"/>
      <c r="J105" s="1993"/>
      <c r="K105" s="1993"/>
      <c r="L105" s="4"/>
      <c r="M105" s="1992"/>
      <c r="N105" s="1992"/>
      <c r="O105" s="35">
        <f t="shared" si="0"/>
        <v>0</v>
      </c>
    </row>
    <row r="106" spans="1:17" ht="18" customHeight="1" x14ac:dyDescent="0.25">
      <c r="A106" s="4"/>
      <c r="B106" s="4"/>
      <c r="C106" s="4"/>
      <c r="D106" s="4"/>
      <c r="E106" s="46"/>
      <c r="F106" s="46"/>
      <c r="G106" s="4"/>
      <c r="H106" s="4"/>
      <c r="I106" s="4"/>
      <c r="J106" s="4"/>
      <c r="K106" s="4"/>
      <c r="L106" s="4"/>
    </row>
    <row r="107" spans="1:17" ht="18" customHeight="1" x14ac:dyDescent="0.25">
      <c r="A107" s="4"/>
      <c r="B107" s="2047" t="s">
        <v>763</v>
      </c>
      <c r="C107" s="2048"/>
      <c r="D107" s="2049"/>
      <c r="E107" s="2039">
        <f>SUM(H61:H105)</f>
        <v>0</v>
      </c>
      <c r="F107" s="2039"/>
      <c r="G107" s="4"/>
      <c r="H107" s="4"/>
      <c r="I107" s="4"/>
      <c r="J107" s="4"/>
      <c r="K107" s="4"/>
      <c r="L107" s="4"/>
      <c r="Q107" s="1299"/>
    </row>
    <row r="108" spans="1:17" ht="18" customHeight="1" x14ac:dyDescent="0.25">
      <c r="A108" s="4"/>
      <c r="B108" s="2047" t="s">
        <v>764</v>
      </c>
      <c r="C108" s="2048"/>
      <c r="D108" s="2049"/>
      <c r="E108" s="2039">
        <f>SUM(C61:C105)</f>
        <v>0</v>
      </c>
      <c r="F108" s="2039"/>
      <c r="G108" s="4"/>
      <c r="H108" s="4"/>
      <c r="I108" s="4"/>
      <c r="J108" s="4"/>
      <c r="K108" s="4"/>
      <c r="L108" s="4"/>
      <c r="Q108" s="1299"/>
    </row>
    <row r="109" spans="1:17" ht="18.75" customHeight="1" x14ac:dyDescent="0.25">
      <c r="A109" s="4"/>
      <c r="B109" s="2047" t="s">
        <v>391</v>
      </c>
      <c r="C109" s="2048"/>
      <c r="D109" s="2049"/>
      <c r="E109" s="2040">
        <f>IFERROR(E107/E108,0)</f>
        <v>0</v>
      </c>
      <c r="F109" s="2040"/>
      <c r="G109" s="630" t="str">
        <f>IFERROR(IF(E109&gt;=0.5,"→ One EP-1 point can be targeted",""),"")</f>
        <v/>
      </c>
      <c r="H109" s="4"/>
      <c r="I109" s="4"/>
      <c r="J109" s="4"/>
      <c r="K109" s="4"/>
      <c r="L109" s="4"/>
    </row>
    <row r="110" spans="1:17" ht="21" customHeight="1" x14ac:dyDescent="0.25">
      <c r="A110" s="4"/>
      <c r="B110" s="4"/>
      <c r="C110" s="4"/>
      <c r="D110" s="4"/>
      <c r="E110" s="46"/>
      <c r="F110" s="46"/>
      <c r="G110" s="4"/>
      <c r="H110" s="4"/>
      <c r="I110" s="4"/>
      <c r="J110" s="4"/>
      <c r="K110" s="4"/>
      <c r="L110" s="4"/>
    </row>
    <row r="111" spans="1:17" ht="18" customHeight="1" x14ac:dyDescent="0.25">
      <c r="A111" s="2008" t="s">
        <v>84</v>
      </c>
      <c r="B111" s="2008"/>
      <c r="C111" s="2008"/>
      <c r="D111" s="2008"/>
      <c r="E111" s="2008"/>
      <c r="F111" s="2008"/>
      <c r="G111" s="2008"/>
      <c r="H111" s="2008"/>
      <c r="I111" s="2008"/>
      <c r="J111" s="2008"/>
      <c r="K111" s="2008"/>
      <c r="L111" s="2008"/>
      <c r="M111" s="1185"/>
    </row>
    <row r="112" spans="1:17" x14ac:dyDescent="0.25">
      <c r="A112" s="4"/>
      <c r="B112" s="4"/>
      <c r="C112" s="4"/>
      <c r="D112" s="4"/>
      <c r="E112" s="4"/>
      <c r="F112" s="4"/>
      <c r="G112" s="4"/>
      <c r="H112" s="4"/>
      <c r="I112" s="4"/>
      <c r="J112" s="4"/>
      <c r="K112" s="4"/>
      <c r="L112" s="4"/>
      <c r="M112" s="4"/>
    </row>
    <row r="113" spans="1:14" ht="21" customHeight="1" x14ac:dyDescent="0.25">
      <c r="A113" s="4"/>
      <c r="B113" s="2036" t="s">
        <v>85</v>
      </c>
      <c r="C113" s="2037"/>
      <c r="D113" s="2037"/>
      <c r="E113" s="2037"/>
      <c r="F113" s="1181" t="s">
        <v>907</v>
      </c>
      <c r="G113" s="2028" t="s">
        <v>908</v>
      </c>
      <c r="H113" s="2029"/>
      <c r="I113" s="4"/>
      <c r="J113" s="4"/>
      <c r="K113" s="4"/>
      <c r="L113" s="4"/>
      <c r="M113" s="4"/>
    </row>
    <row r="114" spans="1:14" ht="30" customHeight="1" x14ac:dyDescent="0.25">
      <c r="A114" s="4"/>
      <c r="B114" s="1648" t="str">
        <f>Submittals!G60</f>
        <v>• Evidence showing that the furniture items are sustainable such as photographs, manufacturer’s data, certificates, test reports, letter from manufacturer, etc.</v>
      </c>
      <c r="C114" s="1649"/>
      <c r="D114" s="1649"/>
      <c r="E114" s="1650"/>
      <c r="F114" s="1180" t="s">
        <v>53</v>
      </c>
      <c r="G114" s="1689"/>
      <c r="H114" s="1690"/>
      <c r="I114" s="1182"/>
      <c r="J114" s="4"/>
      <c r="K114" s="4"/>
      <c r="L114" s="4"/>
      <c r="M114" s="4"/>
      <c r="N114" s="35" t="str">
        <f>IF(OR(B114="/",B114="No evidence required at this submission stage"),"Yes",IF(F114="Submitted","Yes","No"))</f>
        <v>No</v>
      </c>
    </row>
    <row r="115" spans="1:14" ht="30" customHeight="1" x14ac:dyDescent="0.25">
      <c r="A115" s="4"/>
      <c r="B115" s="1648" t="str">
        <f>Submittals!G61</f>
        <v>• Evidence showing that the furniture items were installed such as photographs, invoices, receipts, etc.</v>
      </c>
      <c r="C115" s="1649"/>
      <c r="D115" s="1649"/>
      <c r="E115" s="1650"/>
      <c r="F115" s="1180" t="s">
        <v>53</v>
      </c>
      <c r="G115" s="1689"/>
      <c r="H115" s="1690"/>
      <c r="I115" s="1182"/>
      <c r="J115" s="4"/>
      <c r="K115" s="4"/>
      <c r="L115" s="4"/>
      <c r="M115" s="4"/>
      <c r="N115" s="35" t="str">
        <f>IF(OR(B115="/",B115="No evidence required at this submission stage"),"Yes",IF(F115="Submitted","Yes","No"))</f>
        <v>No</v>
      </c>
    </row>
    <row r="116" spans="1:14" ht="15" hidden="1" customHeight="1" x14ac:dyDescent="0.25">
      <c r="A116" s="4"/>
      <c r="B116" s="1648" t="str">
        <f>Submittals!G62</f>
        <v>/</v>
      </c>
      <c r="C116" s="1649"/>
      <c r="D116" s="1649"/>
      <c r="E116" s="1650"/>
      <c r="F116" s="1180" t="s">
        <v>53</v>
      </c>
      <c r="G116" s="1689"/>
      <c r="H116" s="1690"/>
      <c r="I116" s="1182"/>
      <c r="J116" s="4"/>
      <c r="K116" s="4"/>
      <c r="L116" s="4"/>
      <c r="M116" s="4"/>
      <c r="N116" s="35" t="str">
        <f>IF(OR(B116="/",B116="No evidence required at this submission stage"),"Yes",IF(F116="Submitted","Yes","No"))</f>
        <v>Yes</v>
      </c>
    </row>
    <row r="117" spans="1:14" ht="20.25" customHeight="1" x14ac:dyDescent="0.25">
      <c r="A117" s="4"/>
      <c r="B117" s="46"/>
      <c r="C117" s="46"/>
      <c r="D117" s="46"/>
      <c r="E117" s="46"/>
      <c r="F117" s="4"/>
      <c r="G117" s="4"/>
      <c r="H117" s="4"/>
      <c r="I117" s="4"/>
      <c r="J117" s="4"/>
      <c r="K117" s="4"/>
      <c r="L117" s="4"/>
      <c r="M117" s="4"/>
    </row>
    <row r="118" spans="1:14" ht="18" customHeight="1" x14ac:dyDescent="0.25">
      <c r="A118" s="2008" t="s">
        <v>5</v>
      </c>
      <c r="B118" s="2008"/>
      <c r="C118" s="2008"/>
      <c r="D118" s="2008"/>
      <c r="E118" s="2008"/>
      <c r="F118" s="2008"/>
      <c r="G118" s="2008"/>
      <c r="H118" s="2008"/>
      <c r="I118" s="2008"/>
      <c r="J118" s="2008"/>
      <c r="K118" s="2008"/>
      <c r="L118" s="2008"/>
      <c r="M118" s="1185"/>
    </row>
    <row r="119" spans="1:14" x14ac:dyDescent="0.25">
      <c r="A119" s="4"/>
      <c r="B119" s="4"/>
      <c r="C119" s="4"/>
      <c r="D119" s="4"/>
      <c r="E119" s="4"/>
      <c r="F119" s="4"/>
      <c r="G119" s="4"/>
      <c r="H119" s="4"/>
      <c r="I119" s="4"/>
      <c r="J119" s="4"/>
      <c r="K119" s="4"/>
      <c r="L119" s="4"/>
      <c r="M119" s="4"/>
    </row>
    <row r="120" spans="1:14" ht="18" customHeight="1" x14ac:dyDescent="0.25">
      <c r="A120" s="4"/>
      <c r="B120" s="164" t="s">
        <v>16</v>
      </c>
      <c r="C120" s="8">
        <f>IF(E109&gt;=0.4,4,IF(E109&gt;=0.3,3,IF(E109&gt;=0.2,2,IF(E109&gt;=0.1,1,0))))</f>
        <v>0</v>
      </c>
      <c r="D120" s="4"/>
      <c r="E120" s="4"/>
      <c r="F120" s="4"/>
      <c r="G120" s="4"/>
      <c r="H120" s="4"/>
      <c r="I120" s="4"/>
      <c r="J120" s="4"/>
      <c r="K120" s="4"/>
      <c r="L120" s="4"/>
      <c r="M120" s="4"/>
    </row>
    <row r="121" spans="1:14" ht="18" customHeight="1" x14ac:dyDescent="0.25">
      <c r="A121" s="4"/>
      <c r="B121" s="165" t="s">
        <v>133</v>
      </c>
      <c r="C121" s="8" t="str">
        <f>IF(AND(COUNTIF(N114:N115,"Yes")=2,C120&gt;0),"Yes","No")</f>
        <v>No</v>
      </c>
      <c r="D121" s="4"/>
      <c r="E121" s="4"/>
      <c r="F121" s="4"/>
      <c r="G121" s="4"/>
      <c r="H121" s="4"/>
      <c r="I121" s="4"/>
      <c r="J121" s="4"/>
      <c r="K121" s="4"/>
      <c r="L121" s="4"/>
      <c r="M121" s="4"/>
    </row>
    <row r="122" spans="1:14" ht="21" customHeight="1" x14ac:dyDescent="0.25">
      <c r="A122" s="4"/>
      <c r="B122" s="4"/>
      <c r="C122" s="4"/>
      <c r="D122" s="4"/>
      <c r="E122" s="4"/>
      <c r="F122" s="4"/>
      <c r="G122" s="4"/>
      <c r="H122" s="4"/>
      <c r="I122" s="4"/>
      <c r="J122" s="4"/>
      <c r="K122" s="4"/>
      <c r="L122" s="4"/>
      <c r="M122" s="4"/>
    </row>
    <row r="123" spans="1:14" ht="14.25" hidden="1" customHeight="1" x14ac:dyDescent="0.25">
      <c r="A123" s="4"/>
      <c r="B123" s="4"/>
      <c r="C123" s="4"/>
      <c r="D123" s="4"/>
      <c r="E123" s="4"/>
      <c r="F123" s="4"/>
      <c r="G123" s="4"/>
      <c r="H123" s="4"/>
      <c r="I123" s="4"/>
      <c r="J123" s="4"/>
      <c r="K123" s="4"/>
      <c r="L123" s="4"/>
      <c r="M123" s="4"/>
    </row>
    <row r="124" spans="1:14" hidden="1" x14ac:dyDescent="0.25">
      <c r="A124" s="4"/>
      <c r="B124" s="4"/>
      <c r="C124" s="4"/>
      <c r="D124" s="4"/>
      <c r="E124" s="4"/>
      <c r="F124" s="4"/>
      <c r="G124" s="4"/>
      <c r="H124" s="4"/>
      <c r="I124" s="4"/>
      <c r="J124" s="4"/>
      <c r="K124" s="4"/>
      <c r="L124" s="4"/>
      <c r="M124" s="4"/>
    </row>
    <row r="125" spans="1:14" hidden="1" x14ac:dyDescent="0.25">
      <c r="A125" s="4"/>
      <c r="B125" s="4"/>
      <c r="C125" s="4"/>
      <c r="D125" s="4"/>
      <c r="E125" s="4"/>
      <c r="F125" s="4"/>
      <c r="G125" s="4"/>
      <c r="H125" s="4"/>
      <c r="I125" s="4"/>
      <c r="J125" s="4"/>
      <c r="K125" s="4"/>
      <c r="L125" s="4"/>
      <c r="M125" s="4"/>
    </row>
    <row r="126" spans="1:14" ht="15" hidden="1" customHeight="1" x14ac:dyDescent="0.25"/>
    <row r="127" spans="1:14" ht="15" hidden="1" customHeight="1" x14ac:dyDescent="0.25"/>
    <row r="128" spans="1:14" ht="15" hidden="1" customHeight="1" x14ac:dyDescent="0.25"/>
    <row r="129" ht="15" hidden="1" customHeight="1" x14ac:dyDescent="0.25"/>
    <row r="130" ht="15" hidden="1"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sheetData>
  <sheetProtection algorithmName="SHA-512" hashValue="IwRITGW28noPwIDPsA4+cy5tRw3Z5j20jbfBhO5/m+mWCu0/MphwFPQhLF93Uy4abREqsV83j0p08Z8Y9VMQTQ==" saltValue="PiOCP5yC8ucYeQrK40teGA==" spinCount="100000" sheet="1" objects="1" scenarios="1" formatRows="0"/>
  <mergeCells count="239">
    <mergeCell ref="B38:F38"/>
    <mergeCell ref="B39:F39"/>
    <mergeCell ref="A111:L111"/>
    <mergeCell ref="A118:L118"/>
    <mergeCell ref="E107:F107"/>
    <mergeCell ref="E108:F108"/>
    <mergeCell ref="B109:D109"/>
    <mergeCell ref="E109:F109"/>
    <mergeCell ref="B103:B105"/>
    <mergeCell ref="C103:C105"/>
    <mergeCell ref="H103:H105"/>
    <mergeCell ref="I103:K103"/>
    <mergeCell ref="I104:K104"/>
    <mergeCell ref="I105:K105"/>
    <mergeCell ref="G116:H116"/>
    <mergeCell ref="B115:E115"/>
    <mergeCell ref="G115:H115"/>
    <mergeCell ref="B114:E114"/>
    <mergeCell ref="G114:H114"/>
    <mergeCell ref="B116:E116"/>
    <mergeCell ref="A1:L1"/>
    <mergeCell ref="A5:L7"/>
    <mergeCell ref="A9:L9"/>
    <mergeCell ref="A14:L14"/>
    <mergeCell ref="A42:L42"/>
    <mergeCell ref="B100:B102"/>
    <mergeCell ref="C100:C102"/>
    <mergeCell ref="H100:H102"/>
    <mergeCell ref="I100:K100"/>
    <mergeCell ref="I101:K101"/>
    <mergeCell ref="I102:K102"/>
    <mergeCell ref="B94:B96"/>
    <mergeCell ref="C94:C96"/>
    <mergeCell ref="H94:H96"/>
    <mergeCell ref="I94:K94"/>
    <mergeCell ref="I95:K95"/>
    <mergeCell ref="I96:K96"/>
    <mergeCell ref="B97:B99"/>
    <mergeCell ref="C97:C99"/>
    <mergeCell ref="H97:H99"/>
    <mergeCell ref="I97:K97"/>
    <mergeCell ref="I98:K98"/>
    <mergeCell ref="I99:K99"/>
    <mergeCell ref="B88:B90"/>
    <mergeCell ref="B85:B87"/>
    <mergeCell ref="C85:C87"/>
    <mergeCell ref="H85:H87"/>
    <mergeCell ref="I85:K85"/>
    <mergeCell ref="I86:K86"/>
    <mergeCell ref="I87:K87"/>
    <mergeCell ref="B82:B84"/>
    <mergeCell ref="M82:M84"/>
    <mergeCell ref="N82:N84"/>
    <mergeCell ref="M85:M87"/>
    <mergeCell ref="N85:N87"/>
    <mergeCell ref="H91:H93"/>
    <mergeCell ref="I91:K91"/>
    <mergeCell ref="I92:K92"/>
    <mergeCell ref="I93:K93"/>
    <mergeCell ref="C82:C84"/>
    <mergeCell ref="H82:H84"/>
    <mergeCell ref="I82:K82"/>
    <mergeCell ref="I83:K83"/>
    <mergeCell ref="I84:K84"/>
    <mergeCell ref="C88:C90"/>
    <mergeCell ref="H88:H90"/>
    <mergeCell ref="I88:K88"/>
    <mergeCell ref="I89:K89"/>
    <mergeCell ref="I90:K90"/>
    <mergeCell ref="E88:E90"/>
    <mergeCell ref="E91:E93"/>
    <mergeCell ref="M70:M72"/>
    <mergeCell ref="N70:N72"/>
    <mergeCell ref="M73:M75"/>
    <mergeCell ref="N73:N75"/>
    <mergeCell ref="I77:K77"/>
    <mergeCell ref="I78:K78"/>
    <mergeCell ref="B79:B81"/>
    <mergeCell ref="C79:C81"/>
    <mergeCell ref="H79:H81"/>
    <mergeCell ref="I79:K79"/>
    <mergeCell ref="I80:K80"/>
    <mergeCell ref="I81:K81"/>
    <mergeCell ref="H76:H78"/>
    <mergeCell ref="I76:K76"/>
    <mergeCell ref="B76:B78"/>
    <mergeCell ref="C76:C78"/>
    <mergeCell ref="M76:M78"/>
    <mergeCell ref="N76:N78"/>
    <mergeCell ref="M79:M81"/>
    <mergeCell ref="N79:N81"/>
    <mergeCell ref="E79:E81"/>
    <mergeCell ref="I71:K71"/>
    <mergeCell ref="I72:K72"/>
    <mergeCell ref="B73:B75"/>
    <mergeCell ref="C73:C75"/>
    <mergeCell ref="H73:H75"/>
    <mergeCell ref="I73:K73"/>
    <mergeCell ref="I74:K74"/>
    <mergeCell ref="I75:K75"/>
    <mergeCell ref="H70:H72"/>
    <mergeCell ref="I70:K70"/>
    <mergeCell ref="B70:B72"/>
    <mergeCell ref="C70:C72"/>
    <mergeCell ref="I65:K65"/>
    <mergeCell ref="I66:K66"/>
    <mergeCell ref="B67:B69"/>
    <mergeCell ref="C67:C69"/>
    <mergeCell ref="H67:H69"/>
    <mergeCell ref="I67:K67"/>
    <mergeCell ref="I68:K68"/>
    <mergeCell ref="I69:K69"/>
    <mergeCell ref="H64:H66"/>
    <mergeCell ref="I64:K64"/>
    <mergeCell ref="B53:C53"/>
    <mergeCell ref="B48:D48"/>
    <mergeCell ref="B107:D107"/>
    <mergeCell ref="B108:D108"/>
    <mergeCell ref="B50:C50"/>
    <mergeCell ref="B51:C51"/>
    <mergeCell ref="B52:C52"/>
    <mergeCell ref="B113:E113"/>
    <mergeCell ref="G113:H113"/>
    <mergeCell ref="B54:C54"/>
    <mergeCell ref="D60:E60"/>
    <mergeCell ref="B64:B66"/>
    <mergeCell ref="C64:C66"/>
    <mergeCell ref="B61:B63"/>
    <mergeCell ref="C61:C63"/>
    <mergeCell ref="H61:H63"/>
    <mergeCell ref="B91:B93"/>
    <mergeCell ref="C91:C93"/>
    <mergeCell ref="B55:C56"/>
    <mergeCell ref="D55:E56"/>
    <mergeCell ref="G55:H55"/>
    <mergeCell ref="D52:E52"/>
    <mergeCell ref="D49:E49"/>
    <mergeCell ref="D50:E50"/>
    <mergeCell ref="G2:K4"/>
    <mergeCell ref="D61:D63"/>
    <mergeCell ref="E61:E63"/>
    <mergeCell ref="M61:M63"/>
    <mergeCell ref="I55:J55"/>
    <mergeCell ref="G56:H56"/>
    <mergeCell ref="I56:J56"/>
    <mergeCell ref="G49:H49"/>
    <mergeCell ref="I49:J49"/>
    <mergeCell ref="G50:H50"/>
    <mergeCell ref="I50:J50"/>
    <mergeCell ref="G51:H51"/>
    <mergeCell ref="I51:J51"/>
    <mergeCell ref="G52:H52"/>
    <mergeCell ref="I52:J52"/>
    <mergeCell ref="G53:H53"/>
    <mergeCell ref="I53:J53"/>
    <mergeCell ref="B40:F40"/>
    <mergeCell ref="B31:F31"/>
    <mergeCell ref="B33:F33"/>
    <mergeCell ref="B34:F34"/>
    <mergeCell ref="B35:F35"/>
    <mergeCell ref="B36:F36"/>
    <mergeCell ref="B37:F37"/>
    <mergeCell ref="N61:N63"/>
    <mergeCell ref="M64:M66"/>
    <mergeCell ref="N64:N66"/>
    <mergeCell ref="M67:M69"/>
    <mergeCell ref="N67:N69"/>
    <mergeCell ref="G54:H54"/>
    <mergeCell ref="I54:J54"/>
    <mergeCell ref="B11:E11"/>
    <mergeCell ref="B12:E12"/>
    <mergeCell ref="B25:F25"/>
    <mergeCell ref="B26:F26"/>
    <mergeCell ref="B27:F27"/>
    <mergeCell ref="B28:F28"/>
    <mergeCell ref="B29:F29"/>
    <mergeCell ref="B30:F30"/>
    <mergeCell ref="I60:K60"/>
    <mergeCell ref="I61:K61"/>
    <mergeCell ref="I62:K62"/>
    <mergeCell ref="I63:K63"/>
    <mergeCell ref="D51:E51"/>
    <mergeCell ref="B49:C49"/>
    <mergeCell ref="D53:E53"/>
    <mergeCell ref="D54:E54"/>
    <mergeCell ref="G48:J48"/>
    <mergeCell ref="M88:M90"/>
    <mergeCell ref="N88:N90"/>
    <mergeCell ref="M91:M93"/>
    <mergeCell ref="N91:N93"/>
    <mergeCell ref="M94:M96"/>
    <mergeCell ref="N94:N96"/>
    <mergeCell ref="M97:M99"/>
    <mergeCell ref="N97:N99"/>
    <mergeCell ref="M100:M102"/>
    <mergeCell ref="N100:N102"/>
    <mergeCell ref="M103:M105"/>
    <mergeCell ref="N103:N105"/>
    <mergeCell ref="B58:I58"/>
    <mergeCell ref="D64:D66"/>
    <mergeCell ref="D67:D69"/>
    <mergeCell ref="D70:D72"/>
    <mergeCell ref="D73:D75"/>
    <mergeCell ref="D76:D78"/>
    <mergeCell ref="D79:D81"/>
    <mergeCell ref="D82:D84"/>
    <mergeCell ref="D85:D87"/>
    <mergeCell ref="D88:D90"/>
    <mergeCell ref="D91:D93"/>
    <mergeCell ref="D94:D96"/>
    <mergeCell ref="D97:D99"/>
    <mergeCell ref="D100:D102"/>
    <mergeCell ref="D103:D105"/>
    <mergeCell ref="E64:E66"/>
    <mergeCell ref="E67:E69"/>
    <mergeCell ref="E70:E72"/>
    <mergeCell ref="E73:E75"/>
    <mergeCell ref="E76:E78"/>
    <mergeCell ref="E82:E84"/>
    <mergeCell ref="E85:E87"/>
    <mergeCell ref="E94:E96"/>
    <mergeCell ref="E97:E99"/>
    <mergeCell ref="E100:E102"/>
    <mergeCell ref="E103:E105"/>
    <mergeCell ref="G61:G63"/>
    <mergeCell ref="G64:G66"/>
    <mergeCell ref="G67:G69"/>
    <mergeCell ref="G70:G72"/>
    <mergeCell ref="G73:G75"/>
    <mergeCell ref="G76:G78"/>
    <mergeCell ref="G79:G81"/>
    <mergeCell ref="G82:G84"/>
    <mergeCell ref="G85:G87"/>
    <mergeCell ref="G88:G90"/>
    <mergeCell ref="G91:G93"/>
    <mergeCell ref="G94:G96"/>
    <mergeCell ref="G97:G99"/>
    <mergeCell ref="G100:G102"/>
    <mergeCell ref="G103:G105"/>
  </mergeCells>
  <conditionalFormatting sqref="F12 B12">
    <cfRule type="expression" dxfId="254" priority="62">
      <formula>OR(#REF!="No",#REF!="Không")</formula>
    </cfRule>
  </conditionalFormatting>
  <conditionalFormatting sqref="F12 B12">
    <cfRule type="expression" dxfId="253" priority="63">
      <formula>OR($D12="No",$D12="Không")</formula>
    </cfRule>
    <cfRule type="expression" dxfId="252" priority="64">
      <formula>OR(#REF!="No",#REF!="Không")</formula>
    </cfRule>
  </conditionalFormatting>
  <conditionalFormatting sqref="F114:H116">
    <cfRule type="expression" dxfId="251" priority="49">
      <formula>$B114="/"</formula>
    </cfRule>
    <cfRule type="expression" dxfId="250" priority="50">
      <formula>$B114="No evidence required at this submission stage"</formula>
    </cfRule>
  </conditionalFormatting>
  <conditionalFormatting sqref="E61:E63">
    <cfRule type="expression" dxfId="249" priority="15">
      <formula>$M61&lt;&gt;1</formula>
    </cfRule>
  </conditionalFormatting>
  <conditionalFormatting sqref="E64:E66">
    <cfRule type="expression" dxfId="248" priority="14">
      <formula>$M64&lt;&gt;1</formula>
    </cfRule>
  </conditionalFormatting>
  <conditionalFormatting sqref="E67:E69">
    <cfRule type="expression" dxfId="247" priority="13">
      <formula>$M67&lt;&gt;1</formula>
    </cfRule>
  </conditionalFormatting>
  <conditionalFormatting sqref="E70:E72">
    <cfRule type="expression" dxfId="246" priority="12">
      <formula>$M70&lt;&gt;1</formula>
    </cfRule>
  </conditionalFormatting>
  <conditionalFormatting sqref="E73:E75">
    <cfRule type="expression" dxfId="245" priority="11">
      <formula>$M73&lt;&gt;1</formula>
    </cfRule>
  </conditionalFormatting>
  <conditionalFormatting sqref="E76:E78">
    <cfRule type="expression" dxfId="244" priority="10">
      <formula>$M76&lt;&gt;1</formula>
    </cfRule>
  </conditionalFormatting>
  <conditionalFormatting sqref="E79:E81">
    <cfRule type="expression" dxfId="243" priority="9">
      <formula>$M79&lt;&gt;1</formula>
    </cfRule>
  </conditionalFormatting>
  <conditionalFormatting sqref="E82:E84">
    <cfRule type="expression" dxfId="242" priority="8">
      <formula>$M82&lt;&gt;1</formula>
    </cfRule>
  </conditionalFormatting>
  <conditionalFormatting sqref="E85:E87">
    <cfRule type="expression" dxfId="241" priority="7">
      <formula>$M85&lt;&gt;1</formula>
    </cfRule>
  </conditionalFormatting>
  <conditionalFormatting sqref="E88:E90">
    <cfRule type="expression" dxfId="240" priority="6">
      <formula>$M88&lt;&gt;1</formula>
    </cfRule>
  </conditionalFormatting>
  <conditionalFormatting sqref="E91:E93">
    <cfRule type="expression" dxfId="239" priority="5">
      <formula>$M91&lt;&gt;1</formula>
    </cfRule>
  </conditionalFormatting>
  <conditionalFormatting sqref="E94:E96">
    <cfRule type="expression" dxfId="238" priority="4">
      <formula>$M94&lt;&gt;1</formula>
    </cfRule>
  </conditionalFormatting>
  <conditionalFormatting sqref="E97:E99">
    <cfRule type="expression" dxfId="237" priority="3">
      <formula>$M97&lt;&gt;1</formula>
    </cfRule>
  </conditionalFormatting>
  <conditionalFormatting sqref="E100:E102">
    <cfRule type="expression" dxfId="236" priority="2">
      <formula>$M100&lt;&gt;1</formula>
    </cfRule>
  </conditionalFormatting>
  <conditionalFormatting sqref="E103:E105">
    <cfRule type="expression" dxfId="235" priority="1">
      <formula>$M103&lt;&gt;1</formula>
    </cfRule>
  </conditionalFormatting>
  <dataValidations count="6">
    <dataValidation allowBlank="1" showInputMessage="1" showErrorMessage="1" prompt="Describe the sustainable features of the furniture" sqref="I60" xr:uid="{00000000-0002-0000-1A00-000000000000}"/>
    <dataValidation type="list" allowBlank="1" showInputMessage="1" showErrorMessage="1" sqref="F114:F116" xr:uid="{00000000-0002-0000-1A00-000001000000}">
      <formula1>"Select,Submitted,Not submitted"</formula1>
    </dataValidation>
    <dataValidation type="list" allowBlank="1" showInputMessage="1" showErrorMessage="1" sqref="D61 D64 D67 D76 D70 D73 D85 D79 D82 D94 D88 D91 D97 D100 D103" xr:uid="{00000000-0002-0000-1A00-000003000000}">
      <formula1>Sustainable_furniture</formula1>
    </dataValidation>
    <dataValidation allowBlank="1" showInputMessage="1" showErrorMessage="1" prompt="Enter relevant information on the sustainable features of the materials: origin of reused materials, % of pre-consumer recycled content, % of post-consumer recycled content, transportation distance, etc. " sqref="I61:I105" xr:uid="{00000000-0002-0000-1A00-000004000000}"/>
    <dataValidation type="list" allowBlank="1" showInputMessage="1" showErrorMessage="1" sqref="F61:F105" xr:uid="{DE0DC699-EE17-4AB4-9CDF-2059319CF306}">
      <formula1>sustainable_furniture_features</formula1>
    </dataValidation>
    <dataValidation allowBlank="1" showInputMessage="1" showErrorMessage="1" prompt="Enter either the:_x000a_- % of reused components (by mass)._x000a_- % of recycled content._x000a_- % of rapidly renewable material_x000a_- % of sustainable timber_x000a_- level of certification_x000a_Else, do not complete the cell." sqref="E61 E64 E67 E70 E73 E76 E79 E82 E85 E88 E91 E94 E97 E100 E103" xr:uid="{640F43C0-EAF3-4E68-BD63-E813AB23CF77}"/>
  </dataValidations>
  <hyperlinks>
    <hyperlink ref="L2" location="'MR-1 Sustainable Materials'!B3" tooltip="MR-1" display="MR-1" xr:uid="{B31F9C9D-55F7-4B28-BD95-729C42DEBA73}"/>
    <hyperlink ref="L4" location="'MR-4 Operation Waste Management'!B3" tooltip="MR-4" display="MR-4" xr:uid="{3CED8520-B7AB-476D-9AB3-49CF3B014161}"/>
    <hyperlink ref="L3" location="'MR-3 Fit-out Waste'!B3" tooltip="MR-3" display="MR-3" xr:uid="{F0DC0DF1-6E96-49CC-A088-C24101573CCD}"/>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5F4970"/>
  </sheetPr>
  <dimension ref="A1:O243"/>
  <sheetViews>
    <sheetView showRowColHeaders="0" zoomScaleNormal="100" workbookViewId="0">
      <pane ySplit="8" topLeftCell="A9" activePane="bottomLeft" state="frozen"/>
      <selection activeCell="H22" sqref="H22"/>
      <selection pane="bottomLeft" activeCell="A8" sqref="A8"/>
    </sheetView>
  </sheetViews>
  <sheetFormatPr defaultColWidth="0" defaultRowHeight="15" customHeight="1" zeroHeight="1" x14ac:dyDescent="0.25"/>
  <cols>
    <col min="1" max="1" width="5.7109375" style="35" customWidth="1"/>
    <col min="2" max="2" width="18.42578125" style="35" customWidth="1"/>
    <col min="3" max="3" width="16.85546875" style="35" customWidth="1"/>
    <col min="4" max="4" width="18.85546875" style="35" customWidth="1"/>
    <col min="5" max="5" width="20" style="35" customWidth="1"/>
    <col min="6" max="6" width="18.42578125" style="35" customWidth="1"/>
    <col min="7" max="7" width="19.42578125" style="35" customWidth="1"/>
    <col min="8" max="8" width="22.28515625" style="35" customWidth="1"/>
    <col min="9" max="9" width="16.7109375" style="35" customWidth="1"/>
    <col min="10" max="10" width="11.85546875" style="35" customWidth="1"/>
    <col min="11" max="11" width="9.140625" style="35" customWidth="1"/>
    <col min="12" max="16384" width="9.140625" style="35" hidden="1"/>
  </cols>
  <sheetData>
    <row r="1" spans="1:12" ht="25.5" customHeight="1" x14ac:dyDescent="0.25">
      <c r="A1" s="1985" t="s">
        <v>2289</v>
      </c>
      <c r="B1" s="1985"/>
      <c r="C1" s="1985"/>
      <c r="D1" s="1985"/>
      <c r="E1" s="1985"/>
      <c r="F1" s="1985"/>
      <c r="G1" s="1985"/>
      <c r="H1" s="1985"/>
      <c r="I1" s="1985"/>
      <c r="J1" s="1985"/>
      <c r="K1" s="1985"/>
    </row>
    <row r="2" spans="1:12" ht="15" customHeight="1" x14ac:dyDescent="0.25">
      <c r="A2" s="45"/>
      <c r="B2" s="46"/>
      <c r="C2" s="46"/>
      <c r="D2" s="46"/>
      <c r="E2" s="46"/>
      <c r="F2" s="45"/>
      <c r="G2" s="45"/>
      <c r="H2" s="45"/>
      <c r="I2" s="1753" t="s">
        <v>2315</v>
      </c>
      <c r="J2" s="1753"/>
      <c r="K2" s="1225" t="s">
        <v>2286</v>
      </c>
    </row>
    <row r="3" spans="1:12" ht="15" customHeight="1" x14ac:dyDescent="0.25">
      <c r="A3" s="45"/>
      <c r="B3" s="46"/>
      <c r="C3" s="46"/>
      <c r="D3" s="46"/>
      <c r="E3" s="46"/>
      <c r="F3" s="45"/>
      <c r="G3" s="45"/>
      <c r="H3" s="45"/>
      <c r="I3" s="1753"/>
      <c r="J3" s="1753"/>
      <c r="K3" s="1225" t="s">
        <v>2285</v>
      </c>
    </row>
    <row r="4" spans="1:12" ht="15" customHeight="1" x14ac:dyDescent="0.25">
      <c r="A4" s="45"/>
      <c r="B4" s="46"/>
      <c r="C4" s="46"/>
      <c r="D4" s="46"/>
      <c r="E4" s="46"/>
      <c r="F4" s="45"/>
      <c r="G4" s="45"/>
      <c r="H4" s="45"/>
      <c r="I4" s="1754"/>
      <c r="J4" s="1754"/>
      <c r="K4" s="1225" t="s">
        <v>2284</v>
      </c>
    </row>
    <row r="5" spans="1:12" ht="21" customHeight="1" x14ac:dyDescent="0.25">
      <c r="A5" s="1656" t="s">
        <v>2631</v>
      </c>
      <c r="B5" s="1657"/>
      <c r="C5" s="1657"/>
      <c r="D5" s="1657"/>
      <c r="E5" s="1657"/>
      <c r="F5" s="1657"/>
      <c r="G5" s="1657"/>
      <c r="H5" s="1657"/>
      <c r="I5" s="1657"/>
      <c r="J5" s="1657"/>
      <c r="K5" s="1658"/>
      <c r="L5" s="680"/>
    </row>
    <row r="6" spans="1:12" ht="21" customHeight="1" x14ac:dyDescent="0.25">
      <c r="A6" s="1659"/>
      <c r="B6" s="1660"/>
      <c r="C6" s="1660"/>
      <c r="D6" s="1660"/>
      <c r="E6" s="1660"/>
      <c r="F6" s="1660"/>
      <c r="G6" s="1660"/>
      <c r="H6" s="1660"/>
      <c r="I6" s="1660"/>
      <c r="J6" s="1660"/>
      <c r="K6" s="1661"/>
    </row>
    <row r="7" spans="1:12" ht="21" customHeight="1" x14ac:dyDescent="0.25">
      <c r="A7" s="1662"/>
      <c r="B7" s="1663"/>
      <c r="C7" s="1663"/>
      <c r="D7" s="1663"/>
      <c r="E7" s="1663"/>
      <c r="F7" s="1663"/>
      <c r="G7" s="1663"/>
      <c r="H7" s="1663"/>
      <c r="I7" s="1663"/>
      <c r="J7" s="1663"/>
      <c r="K7" s="1664"/>
    </row>
    <row r="8" spans="1:12" ht="12" customHeight="1" x14ac:dyDescent="0.25">
      <c r="A8" s="45"/>
      <c r="B8" s="46"/>
      <c r="C8" s="46"/>
      <c r="D8" s="46"/>
      <c r="E8" s="46"/>
      <c r="F8" s="45"/>
      <c r="G8" s="45"/>
      <c r="H8" s="45"/>
      <c r="I8" s="45"/>
      <c r="J8" s="45"/>
      <c r="K8" s="45"/>
    </row>
    <row r="9" spans="1:12" ht="18" customHeight="1" x14ac:dyDescent="0.25">
      <c r="A9" s="2008" t="s">
        <v>82</v>
      </c>
      <c r="B9" s="2008"/>
      <c r="C9" s="2008"/>
      <c r="D9" s="2008"/>
      <c r="E9" s="2008"/>
      <c r="F9" s="2008"/>
      <c r="G9" s="2008"/>
      <c r="H9" s="2008"/>
      <c r="I9" s="2008"/>
      <c r="J9" s="2008"/>
      <c r="K9" s="2008"/>
    </row>
    <row r="10" spans="1:12" ht="13.5" customHeight="1" x14ac:dyDescent="0.25">
      <c r="A10" s="45"/>
      <c r="B10" s="46"/>
      <c r="C10" s="46"/>
      <c r="D10" s="46"/>
      <c r="E10" s="46"/>
      <c r="F10" s="45"/>
      <c r="G10" s="45"/>
      <c r="H10" s="45"/>
      <c r="I10" s="45"/>
      <c r="J10" s="45"/>
      <c r="K10" s="45"/>
    </row>
    <row r="11" spans="1:12" ht="21" customHeight="1" x14ac:dyDescent="0.25">
      <c r="A11" s="45"/>
      <c r="B11" s="2065" t="s">
        <v>83</v>
      </c>
      <c r="C11" s="2066"/>
      <c r="D11" s="2066"/>
      <c r="E11" s="2066"/>
      <c r="F11" s="262" t="s">
        <v>64</v>
      </c>
      <c r="G11" s="262" t="s">
        <v>16</v>
      </c>
      <c r="H11" s="1261" t="s">
        <v>133</v>
      </c>
      <c r="I11" s="264"/>
      <c r="J11" s="45"/>
      <c r="K11" s="45"/>
    </row>
    <row r="12" spans="1:12" ht="40.5" customHeight="1" x14ac:dyDescent="0.25">
      <c r="A12" s="45"/>
      <c r="B12" s="1832" t="s">
        <v>2013</v>
      </c>
      <c r="C12" s="2067"/>
      <c r="D12" s="2067"/>
      <c r="E12" s="2068"/>
      <c r="F12" s="260">
        <v>2</v>
      </c>
      <c r="G12" s="281">
        <f>C59</f>
        <v>0</v>
      </c>
      <c r="H12" s="281" t="str">
        <f>C60</f>
        <v>No</v>
      </c>
      <c r="I12" s="45"/>
      <c r="J12" s="45"/>
      <c r="K12" s="45"/>
      <c r="L12" s="35" t="str">
        <f>IF(G12&lt;&gt;0,IF(H12="No","No","Yes"),"Yes")</f>
        <v>Yes</v>
      </c>
    </row>
    <row r="13" spans="1:12" ht="30" customHeight="1" x14ac:dyDescent="0.25">
      <c r="A13" s="45"/>
      <c r="B13" s="1832" t="s">
        <v>2141</v>
      </c>
      <c r="C13" s="2067" t="s">
        <v>62</v>
      </c>
      <c r="D13" s="2067" t="s">
        <v>62</v>
      </c>
      <c r="E13" s="2068" t="s">
        <v>62</v>
      </c>
      <c r="F13" s="275">
        <v>1</v>
      </c>
      <c r="G13" s="281">
        <f>C87</f>
        <v>0</v>
      </c>
      <c r="H13" s="281" t="str">
        <f>C88</f>
        <v>No</v>
      </c>
      <c r="I13" s="45"/>
      <c r="J13" s="45"/>
      <c r="K13" s="45"/>
      <c r="L13" s="35" t="str">
        <f>IF(G13&lt;&gt;0,IF(H13="No","No","Yes"),"Yes")</f>
        <v>Yes</v>
      </c>
    </row>
    <row r="14" spans="1:12" ht="19.5" customHeight="1" x14ac:dyDescent="0.25">
      <c r="A14" s="45"/>
      <c r="B14" s="1810" t="s">
        <v>25</v>
      </c>
      <c r="C14" s="1811"/>
      <c r="D14" s="1811"/>
      <c r="E14" s="1812"/>
      <c r="F14" s="498">
        <v>2</v>
      </c>
      <c r="G14" s="498">
        <f>MIN(2,G12+G13)</f>
        <v>0</v>
      </c>
      <c r="H14" s="498" t="str">
        <f>IF(COUNTIF(H12:H13,"No")=2,"No",IF(COUNTIF(L12:L13,"Yes")=2,"Yes","No"))</f>
        <v>No</v>
      </c>
      <c r="I14" s="45"/>
      <c r="J14" s="45"/>
      <c r="K14" s="45"/>
    </row>
    <row r="15" spans="1:12" ht="18" customHeight="1" x14ac:dyDescent="0.25">
      <c r="A15" s="45"/>
      <c r="B15" s="46"/>
      <c r="C15" s="46"/>
      <c r="D15" s="46"/>
      <c r="E15" s="46"/>
      <c r="F15" s="45"/>
      <c r="G15" s="630" t="str">
        <f>IFERROR(IF(SUM(G12:G13)&gt;2,"→ One EP-1 point can be targeted",""),"")</f>
        <v/>
      </c>
      <c r="H15" s="45"/>
      <c r="I15" s="45"/>
      <c r="J15" s="45"/>
      <c r="K15" s="45"/>
    </row>
    <row r="16" spans="1:12" ht="18" customHeight="1" x14ac:dyDescent="0.25">
      <c r="A16" s="2008" t="s">
        <v>390</v>
      </c>
      <c r="B16" s="2008"/>
      <c r="C16" s="2008"/>
      <c r="D16" s="2008"/>
      <c r="E16" s="2008"/>
      <c r="F16" s="2008"/>
      <c r="G16" s="2008"/>
      <c r="H16" s="2008"/>
      <c r="I16" s="2008"/>
      <c r="J16" s="2008"/>
      <c r="K16" s="2008"/>
    </row>
    <row r="17" spans="1:11" ht="16.5" customHeight="1" x14ac:dyDescent="0.25">
      <c r="A17" s="45"/>
      <c r="B17" s="45"/>
      <c r="C17" s="46"/>
      <c r="D17" s="46"/>
      <c r="E17" s="46"/>
      <c r="F17" s="45"/>
      <c r="G17" s="45"/>
      <c r="H17" s="45"/>
      <c r="I17" s="45"/>
      <c r="J17" s="45"/>
      <c r="K17" s="45"/>
    </row>
    <row r="18" spans="1:11" ht="16.5" customHeight="1" x14ac:dyDescent="0.25">
      <c r="A18" s="2052" t="s">
        <v>102</v>
      </c>
      <c r="B18" s="2052"/>
      <c r="C18" s="2052"/>
      <c r="D18" s="46"/>
      <c r="E18" s="46"/>
      <c r="F18" s="46"/>
      <c r="G18" s="46"/>
      <c r="H18" s="46"/>
      <c r="I18" s="46"/>
      <c r="J18" s="46"/>
      <c r="K18" s="46"/>
    </row>
    <row r="19" spans="1:11" ht="12" customHeight="1" x14ac:dyDescent="0.25">
      <c r="A19" s="45"/>
      <c r="B19" s="46"/>
      <c r="C19" s="46"/>
      <c r="D19" s="46"/>
      <c r="E19" s="46"/>
      <c r="F19" s="45"/>
      <c r="G19" s="45"/>
      <c r="H19" s="45"/>
      <c r="I19" s="45"/>
      <c r="J19" s="45"/>
      <c r="K19" s="45"/>
    </row>
    <row r="20" spans="1:11" ht="16.5" customHeight="1" x14ac:dyDescent="0.25">
      <c r="A20" s="45"/>
      <c r="B20" s="749" t="s">
        <v>2142</v>
      </c>
      <c r="C20" s="847"/>
      <c r="D20" s="847"/>
      <c r="E20" s="847"/>
      <c r="F20" s="847"/>
      <c r="G20" s="847"/>
      <c r="H20" s="847"/>
      <c r="I20" s="848"/>
      <c r="J20" s="845"/>
      <c r="K20" s="45"/>
    </row>
    <row r="21" spans="1:11" ht="16.5" customHeight="1" x14ac:dyDescent="0.25">
      <c r="A21" s="45"/>
      <c r="B21" s="1171" t="s">
        <v>2014</v>
      </c>
      <c r="C21" s="846"/>
      <c r="D21" s="846"/>
      <c r="E21" s="846"/>
      <c r="F21" s="846"/>
      <c r="G21" s="846"/>
      <c r="H21" s="846"/>
      <c r="I21" s="849"/>
      <c r="J21" s="609"/>
      <c r="K21" s="45"/>
    </row>
    <row r="22" spans="1:11" ht="16.5" customHeight="1" x14ac:dyDescent="0.25">
      <c r="A22" s="45"/>
      <c r="B22" s="1172" t="s">
        <v>2015</v>
      </c>
      <c r="C22" s="850"/>
      <c r="D22" s="850"/>
      <c r="E22" s="850"/>
      <c r="F22" s="850"/>
      <c r="G22" s="850"/>
      <c r="H22" s="850"/>
      <c r="I22" s="851"/>
      <c r="J22" s="609"/>
      <c r="K22" s="45"/>
    </row>
    <row r="23" spans="1:11" x14ac:dyDescent="0.25">
      <c r="A23" s="45"/>
      <c r="B23" s="46"/>
      <c r="C23" s="46"/>
      <c r="D23" s="45"/>
      <c r="E23" s="45"/>
      <c r="F23" s="45"/>
      <c r="G23" s="45"/>
      <c r="H23" s="45"/>
      <c r="I23" s="45"/>
      <c r="J23" s="45"/>
      <c r="K23" s="45"/>
    </row>
    <row r="24" spans="1:11" x14ac:dyDescent="0.25">
      <c r="A24" s="45"/>
      <c r="B24" s="560" t="s">
        <v>1220</v>
      </c>
      <c r="C24" s="45"/>
      <c r="D24" s="45"/>
      <c r="E24" s="45"/>
      <c r="F24" s="45"/>
      <c r="G24" s="45"/>
      <c r="H24" s="45"/>
      <c r="I24" s="45"/>
      <c r="J24" s="45"/>
      <c r="K24" s="45"/>
    </row>
    <row r="25" spans="1:11" x14ac:dyDescent="0.25">
      <c r="A25" s="45"/>
      <c r="B25" s="560"/>
      <c r="C25" s="45"/>
      <c r="D25" s="45"/>
      <c r="E25" s="45"/>
      <c r="F25" s="45"/>
      <c r="G25" s="45"/>
      <c r="H25" s="45"/>
      <c r="I25" s="45"/>
      <c r="J25" s="45"/>
      <c r="K25" s="45"/>
    </row>
    <row r="26" spans="1:11" ht="18" customHeight="1" x14ac:dyDescent="0.25">
      <c r="A26" s="45"/>
      <c r="B26" s="2069" t="str">
        <f>IF('Project information'!$C$7="Certification stage","• Has a waste storage area been provided on the construction site?","•  Will a waste storage area be provided on the construction site?")</f>
        <v>• Has a waste storage area been provided on the construction site?</v>
      </c>
      <c r="C26" s="2069"/>
      <c r="D26" s="2069"/>
      <c r="E26" s="2069"/>
      <c r="F26" s="1169" t="s">
        <v>53</v>
      </c>
      <c r="G26" s="45"/>
      <c r="H26" s="45"/>
      <c r="I26" s="45"/>
      <c r="J26" s="45"/>
      <c r="K26" s="45"/>
    </row>
    <row r="27" spans="1:11" x14ac:dyDescent="0.25">
      <c r="A27" s="45"/>
      <c r="B27" s="46"/>
      <c r="C27" s="46"/>
      <c r="D27" s="45"/>
      <c r="E27" s="45"/>
      <c r="F27" s="45"/>
      <c r="G27" s="45"/>
      <c r="H27" s="45"/>
      <c r="I27" s="45"/>
      <c r="J27" s="45"/>
      <c r="K27" s="45"/>
    </row>
    <row r="28" spans="1:11" ht="16.5" customHeight="1" x14ac:dyDescent="0.25">
      <c r="A28" s="2052" t="s">
        <v>865</v>
      </c>
      <c r="B28" s="2052"/>
      <c r="C28" s="2052"/>
      <c r="D28" s="46"/>
      <c r="E28" s="46"/>
      <c r="F28" s="46"/>
      <c r="G28" s="46"/>
      <c r="H28" s="46"/>
      <c r="I28" s="46"/>
      <c r="J28" s="46"/>
      <c r="K28" s="46"/>
    </row>
    <row r="29" spans="1:11" x14ac:dyDescent="0.25">
      <c r="A29" s="45"/>
      <c r="B29" s="46"/>
      <c r="C29" s="46"/>
      <c r="D29" s="46"/>
      <c r="E29" s="46"/>
      <c r="F29" s="45"/>
      <c r="G29" s="45"/>
      <c r="H29" s="45"/>
      <c r="I29" s="45"/>
      <c r="J29" s="45"/>
      <c r="K29" s="45"/>
    </row>
    <row r="30" spans="1:11" x14ac:dyDescent="0.25">
      <c r="A30" s="45"/>
      <c r="B30" s="610" t="s">
        <v>864</v>
      </c>
      <c r="C30" s="46"/>
      <c r="D30" s="46"/>
      <c r="E30" s="46"/>
      <c r="F30" s="45"/>
      <c r="G30" s="45"/>
      <c r="H30" s="45"/>
      <c r="I30" s="45"/>
      <c r="J30" s="45"/>
      <c r="K30" s="45"/>
    </row>
    <row r="31" spans="1:11" x14ac:dyDescent="0.25">
      <c r="A31" s="45"/>
      <c r="B31" s="46"/>
      <c r="C31" s="46"/>
      <c r="D31" s="46"/>
      <c r="E31" s="46"/>
      <c r="F31" s="45"/>
      <c r="G31" s="45"/>
      <c r="H31" s="45"/>
      <c r="I31" s="45"/>
      <c r="J31" s="45"/>
      <c r="K31" s="45"/>
    </row>
    <row r="32" spans="1:11" x14ac:dyDescent="0.25">
      <c r="A32" s="45"/>
      <c r="B32" s="566" t="s">
        <v>968</v>
      </c>
      <c r="C32" s="46"/>
      <c r="D32" s="46"/>
      <c r="E32" s="46"/>
      <c r="F32" s="45"/>
      <c r="G32" s="45"/>
      <c r="H32" s="45"/>
      <c r="I32" s="45"/>
      <c r="J32" s="45"/>
      <c r="K32" s="45"/>
    </row>
    <row r="33" spans="1:11" x14ac:dyDescent="0.25">
      <c r="A33" s="45"/>
      <c r="B33" s="46"/>
      <c r="C33" s="46"/>
      <c r="D33" s="46"/>
      <c r="E33" s="46"/>
      <c r="F33" s="45"/>
      <c r="G33" s="45"/>
      <c r="H33" s="45"/>
      <c r="I33" s="45"/>
      <c r="J33" s="45"/>
      <c r="K33" s="45"/>
    </row>
    <row r="34" spans="1:11" ht="15.75" customHeight="1" x14ac:dyDescent="0.25">
      <c r="A34" s="45"/>
      <c r="B34" s="2063" t="s">
        <v>514</v>
      </c>
      <c r="C34" s="2064"/>
      <c r="D34" s="364" t="s">
        <v>53</v>
      </c>
      <c r="E34" s="46"/>
      <c r="F34" s="45"/>
      <c r="G34" s="45"/>
      <c r="H34" s="45"/>
      <c r="I34" s="45"/>
      <c r="J34" s="45"/>
      <c r="K34" s="45"/>
    </row>
    <row r="35" spans="1:11" x14ac:dyDescent="0.25">
      <c r="A35" s="45"/>
      <c r="B35" s="365" t="s">
        <v>515</v>
      </c>
      <c r="C35" s="4"/>
      <c r="D35" s="4"/>
      <c r="E35" s="46"/>
      <c r="F35" s="45"/>
      <c r="G35" s="45"/>
      <c r="H35" s="45"/>
      <c r="I35" s="45"/>
      <c r="J35" s="45"/>
      <c r="K35" s="45"/>
    </row>
    <row r="36" spans="1:11" ht="12.75" customHeight="1" x14ac:dyDescent="0.25">
      <c r="A36" s="45"/>
      <c r="B36" s="365"/>
      <c r="C36" s="4"/>
      <c r="D36" s="4"/>
      <c r="E36" s="46"/>
      <c r="F36" s="45"/>
      <c r="G36" s="45"/>
      <c r="H36" s="45"/>
      <c r="I36" s="45"/>
      <c r="J36" s="45"/>
      <c r="K36" s="45"/>
    </row>
    <row r="37" spans="1:11" ht="24.75" customHeight="1" x14ac:dyDescent="0.25">
      <c r="A37" s="45"/>
      <c r="B37" s="1262" t="s">
        <v>154</v>
      </c>
      <c r="C37" s="1263" t="str">
        <f>IF(D34="Volume (m3)","Volume (m3)",IF(D34="weight (kg)","Weight (kg)","Volume/Mass"))</f>
        <v>Volume/Mass</v>
      </c>
      <c r="D37" s="1264" t="s">
        <v>156</v>
      </c>
      <c r="E37" s="1263" t="s">
        <v>155</v>
      </c>
      <c r="F37" s="2053" t="s">
        <v>847</v>
      </c>
      <c r="G37" s="2054"/>
      <c r="H37" s="45"/>
      <c r="I37" s="45"/>
      <c r="J37" s="45"/>
      <c r="K37" s="46"/>
    </row>
    <row r="38" spans="1:11" ht="18" customHeight="1" x14ac:dyDescent="0.25">
      <c r="A38" s="45"/>
      <c r="B38" s="142"/>
      <c r="C38" s="142"/>
      <c r="D38" s="142" t="s">
        <v>53</v>
      </c>
      <c r="E38" s="142"/>
      <c r="F38" s="2055"/>
      <c r="G38" s="2056"/>
      <c r="H38" s="45"/>
      <c r="I38" s="45"/>
      <c r="J38" s="45"/>
      <c r="K38" s="46"/>
    </row>
    <row r="39" spans="1:11" ht="18" customHeight="1" x14ac:dyDescent="0.25">
      <c r="A39" s="45"/>
      <c r="B39" s="142"/>
      <c r="C39" s="142"/>
      <c r="D39" s="142" t="s">
        <v>53</v>
      </c>
      <c r="E39" s="142"/>
      <c r="F39" s="2055"/>
      <c r="G39" s="2056"/>
      <c r="H39" s="45"/>
      <c r="I39" s="45"/>
      <c r="J39" s="45"/>
      <c r="K39" s="46"/>
    </row>
    <row r="40" spans="1:11" ht="18" customHeight="1" x14ac:dyDescent="0.25">
      <c r="A40" s="45"/>
      <c r="B40" s="142"/>
      <c r="C40" s="142"/>
      <c r="D40" s="142" t="s">
        <v>53</v>
      </c>
      <c r="E40" s="142"/>
      <c r="F40" s="332"/>
      <c r="G40" s="333"/>
      <c r="H40" s="45"/>
      <c r="I40" s="45"/>
      <c r="J40" s="45"/>
      <c r="K40" s="46"/>
    </row>
    <row r="41" spans="1:11" ht="18" customHeight="1" x14ac:dyDescent="0.25">
      <c r="A41" s="45"/>
      <c r="B41" s="142"/>
      <c r="C41" s="142"/>
      <c r="D41" s="142" t="s">
        <v>53</v>
      </c>
      <c r="E41" s="142"/>
      <c r="F41" s="598"/>
      <c r="G41" s="599"/>
      <c r="H41" s="45"/>
      <c r="I41" s="45"/>
      <c r="J41" s="45"/>
      <c r="K41" s="46"/>
    </row>
    <row r="42" spans="1:11" ht="18" customHeight="1" x14ac:dyDescent="0.25">
      <c r="A42" s="45"/>
      <c r="B42" s="142"/>
      <c r="C42" s="142"/>
      <c r="D42" s="142" t="s">
        <v>53</v>
      </c>
      <c r="E42" s="142"/>
      <c r="F42" s="598"/>
      <c r="G42" s="599"/>
      <c r="H42" s="45"/>
      <c r="I42" s="45"/>
      <c r="J42" s="45"/>
      <c r="K42" s="46"/>
    </row>
    <row r="43" spans="1:11" ht="18" customHeight="1" x14ac:dyDescent="0.25">
      <c r="A43" s="45"/>
      <c r="B43" s="142"/>
      <c r="C43" s="142"/>
      <c r="D43" s="142" t="s">
        <v>53</v>
      </c>
      <c r="E43" s="142"/>
      <c r="F43" s="332"/>
      <c r="G43" s="333"/>
      <c r="H43" s="45"/>
      <c r="I43" s="45"/>
      <c r="J43" s="45"/>
      <c r="K43" s="46"/>
    </row>
    <row r="44" spans="1:11" ht="18" customHeight="1" x14ac:dyDescent="0.25">
      <c r="A44" s="45"/>
      <c r="B44" s="142"/>
      <c r="C44" s="142"/>
      <c r="D44" s="142" t="s">
        <v>53</v>
      </c>
      <c r="E44" s="142"/>
      <c r="F44" s="353"/>
      <c r="G44" s="354"/>
      <c r="H44" s="45"/>
      <c r="I44" s="45"/>
      <c r="J44" s="45"/>
      <c r="K44" s="46"/>
    </row>
    <row r="45" spans="1:11" ht="18" customHeight="1" x14ac:dyDescent="0.25">
      <c r="A45" s="45"/>
      <c r="B45" s="142"/>
      <c r="C45" s="142"/>
      <c r="D45" s="142" t="s">
        <v>53</v>
      </c>
      <c r="E45" s="142"/>
      <c r="F45" s="353"/>
      <c r="G45" s="354"/>
      <c r="H45" s="45"/>
      <c r="I45" s="45"/>
      <c r="J45" s="45"/>
      <c r="K45" s="46"/>
    </row>
    <row r="46" spans="1:11" ht="18" customHeight="1" x14ac:dyDescent="0.25">
      <c r="A46" s="45"/>
      <c r="B46" s="142"/>
      <c r="C46" s="142"/>
      <c r="D46" s="142" t="s">
        <v>53</v>
      </c>
      <c r="E46" s="142"/>
      <c r="F46" s="2055"/>
      <c r="G46" s="2056"/>
      <c r="H46" s="45"/>
      <c r="I46" s="45"/>
      <c r="J46" s="45"/>
      <c r="K46" s="46"/>
    </row>
    <row r="47" spans="1:11" ht="18" customHeight="1" x14ac:dyDescent="0.25">
      <c r="A47" s="45"/>
      <c r="B47" s="142"/>
      <c r="C47" s="142"/>
      <c r="D47" s="142" t="s">
        <v>53</v>
      </c>
      <c r="E47" s="142"/>
      <c r="F47" s="2055"/>
      <c r="G47" s="2056"/>
      <c r="H47" s="45"/>
      <c r="I47" s="45"/>
      <c r="J47" s="45"/>
      <c r="K47" s="46"/>
    </row>
    <row r="48" spans="1:11" ht="19.5" customHeight="1" x14ac:dyDescent="0.25">
      <c r="A48" s="45"/>
      <c r="B48" s="46"/>
      <c r="C48" s="46"/>
      <c r="D48" s="46"/>
      <c r="E48" s="46"/>
      <c r="F48" s="45"/>
      <c r="G48" s="45"/>
      <c r="H48" s="45"/>
      <c r="I48" s="45"/>
      <c r="J48" s="45"/>
      <c r="K48" s="46"/>
    </row>
    <row r="49" spans="1:12" ht="18" customHeight="1" x14ac:dyDescent="0.25">
      <c r="A49" s="45"/>
      <c r="B49" s="2038" t="s">
        <v>1952</v>
      </c>
      <c r="C49" s="2038"/>
      <c r="D49" s="2038"/>
      <c r="E49" s="2038"/>
      <c r="F49" s="66" t="str">
        <f>IFERROR((SUMIFS(C38:C47,D38:D47,"Reuse",E38:E47,"&lt;&gt;",F38:F47,"&lt;&gt;")+SUMIFS(C38:C47,D38:D47,"Recycling",E38:E47,"&lt;&gt;",F38:F47,"&lt;&gt;"))/SUM(C38:C47),"")</f>
        <v/>
      </c>
      <c r="G49" s="630" t="str">
        <f>IFERROR(IF(F49&gt;=0.9,"→ One EP-1 point can be targeted",""),"")</f>
        <v>→ One EP-1 point can be targeted</v>
      </c>
      <c r="H49" s="45"/>
      <c r="I49" s="45"/>
      <c r="J49" s="45"/>
      <c r="K49" s="45"/>
    </row>
    <row r="50" spans="1:12" ht="18.75" customHeight="1" x14ac:dyDescent="0.25">
      <c r="A50" s="45"/>
      <c r="B50" s="46"/>
      <c r="C50" s="46"/>
      <c r="D50" s="46"/>
      <c r="E50" s="45"/>
      <c r="F50" s="45"/>
      <c r="G50" s="45"/>
      <c r="H50" s="45"/>
      <c r="I50" s="45"/>
      <c r="J50" s="45"/>
      <c r="K50" s="45"/>
    </row>
    <row r="51" spans="1:12" ht="16.5" customHeight="1" x14ac:dyDescent="0.25">
      <c r="A51" s="2052" t="s">
        <v>84</v>
      </c>
      <c r="B51" s="2052"/>
      <c r="C51" s="2052"/>
      <c r="D51" s="46"/>
      <c r="E51" s="46"/>
      <c r="F51" s="46"/>
      <c r="G51" s="46"/>
      <c r="H51" s="46"/>
      <c r="I51" s="46"/>
      <c r="J51" s="46"/>
      <c r="K51" s="46"/>
    </row>
    <row r="52" spans="1:12" x14ac:dyDescent="0.25">
      <c r="A52" s="45"/>
      <c r="B52" s="46"/>
      <c r="C52" s="46"/>
      <c r="D52" s="46"/>
      <c r="E52" s="45"/>
      <c r="F52" s="45"/>
      <c r="G52" s="45"/>
      <c r="H52" s="45"/>
      <c r="I52" s="45"/>
      <c r="J52" s="45"/>
      <c r="K52" s="45"/>
    </row>
    <row r="53" spans="1:12" ht="21" customHeight="1" x14ac:dyDescent="0.25">
      <c r="A53" s="45"/>
      <c r="B53" s="2036" t="s">
        <v>85</v>
      </c>
      <c r="C53" s="2037"/>
      <c r="D53" s="2037"/>
      <c r="E53" s="2037"/>
      <c r="F53" s="2037"/>
      <c r="G53" s="1224" t="s">
        <v>907</v>
      </c>
      <c r="H53" s="2028" t="s">
        <v>908</v>
      </c>
      <c r="I53" s="2029"/>
      <c r="J53" s="45"/>
      <c r="K53" s="45"/>
    </row>
    <row r="54" spans="1:12" ht="24" customHeight="1" x14ac:dyDescent="0.25">
      <c r="A54" s="45"/>
      <c r="B54" s="1648" t="str">
        <f>Submittals!G63</f>
        <v>• Evidence showing the waste storage area during fit-out such as photographs, etc.</v>
      </c>
      <c r="C54" s="1649"/>
      <c r="D54" s="1649"/>
      <c r="E54" s="1649"/>
      <c r="F54" s="1649"/>
      <c r="G54" s="865" t="s">
        <v>53</v>
      </c>
      <c r="H54" s="1689"/>
      <c r="I54" s="1690"/>
      <c r="J54" s="45"/>
      <c r="K54" s="45"/>
      <c r="L54" s="35" t="str">
        <f>IF(OR(B54="/",B54="No evidence required at this submission stage"),"Yes",IF(G54="Submitted","Yes","No"))</f>
        <v>No</v>
      </c>
    </row>
    <row r="55" spans="1:12" ht="30" customHeight="1" x14ac:dyDescent="0.25">
      <c r="A55" s="45"/>
      <c r="B55" s="1648" t="str">
        <f>Submittals!G64</f>
        <v>• Evidence showing the amount of waste generated and the amount of waste diverted from landfill such as removal contracts and/or sales/trade documents covering all waste removal compiled</v>
      </c>
      <c r="C55" s="1649"/>
      <c r="D55" s="1649"/>
      <c r="E55" s="1649"/>
      <c r="F55" s="1649"/>
      <c r="G55" s="865" t="s">
        <v>53</v>
      </c>
      <c r="H55" s="1741"/>
      <c r="I55" s="1742"/>
      <c r="J55" s="45"/>
      <c r="K55" s="45"/>
      <c r="L55" s="35" t="str">
        <f>IF(OR(B55="/",B55="No evidence required at this submission stage"),"Yes",IF(G55="Submitted","Yes","No"))</f>
        <v>No</v>
      </c>
    </row>
    <row r="56" spans="1:12" x14ac:dyDescent="0.25">
      <c r="A56" s="45"/>
      <c r="B56" s="46"/>
      <c r="C56" s="46"/>
      <c r="D56" s="46"/>
      <c r="E56" s="45"/>
      <c r="F56" s="45"/>
      <c r="G56" s="45"/>
      <c r="H56" s="45"/>
      <c r="I56" s="45"/>
      <c r="J56" s="45"/>
      <c r="K56" s="45"/>
    </row>
    <row r="57" spans="1:12" ht="16.5" customHeight="1" x14ac:dyDescent="0.25">
      <c r="A57" s="2052" t="s">
        <v>5</v>
      </c>
      <c r="B57" s="2052"/>
      <c r="C57" s="2052"/>
      <c r="D57" s="46"/>
      <c r="E57" s="46"/>
      <c r="F57" s="46"/>
      <c r="G57" s="46"/>
      <c r="H57" s="46"/>
      <c r="I57" s="46"/>
      <c r="J57" s="46"/>
      <c r="K57" s="46"/>
    </row>
    <row r="58" spans="1:12" ht="16.5" customHeight="1" x14ac:dyDescent="0.25">
      <c r="A58" s="45"/>
      <c r="B58" s="46"/>
      <c r="C58" s="46"/>
      <c r="D58" s="46"/>
      <c r="E58" s="46"/>
      <c r="F58" s="45"/>
      <c r="G58" s="45"/>
      <c r="H58" s="45"/>
      <c r="I58" s="45"/>
      <c r="J58" s="45"/>
      <c r="K58" s="45"/>
    </row>
    <row r="59" spans="1:12" ht="18" customHeight="1" x14ac:dyDescent="0.25">
      <c r="A59" s="45"/>
      <c r="B59" s="1253" t="s">
        <v>16</v>
      </c>
      <c r="C59" s="8">
        <f>IF(OR(F26&lt;&gt;"Yes",F49=""),0,IF(F49&gt;=0.6,2,IF(F49&gt;=0.3,1,0)))</f>
        <v>0</v>
      </c>
      <c r="D59" s="46"/>
      <c r="E59" s="45"/>
      <c r="F59" s="45"/>
      <c r="G59" s="45"/>
      <c r="H59" s="45"/>
      <c r="I59" s="45"/>
      <c r="J59" s="45"/>
      <c r="K59" s="45"/>
    </row>
    <row r="60" spans="1:12" ht="18" customHeight="1" x14ac:dyDescent="0.25">
      <c r="A60" s="45"/>
      <c r="B60" s="1253" t="s">
        <v>133</v>
      </c>
      <c r="C60" s="108" t="str">
        <f>IF(AND(COUNTIF(L54:L55,"Yes")=2,C59&gt;0),"Yes","No")</f>
        <v>No</v>
      </c>
      <c r="D60" s="46"/>
      <c r="E60" s="46"/>
      <c r="F60" s="45"/>
      <c r="G60" s="45"/>
      <c r="H60" s="45"/>
      <c r="I60" s="45"/>
      <c r="J60" s="45"/>
      <c r="K60" s="45"/>
    </row>
    <row r="61" spans="1:12" ht="21" customHeight="1" x14ac:dyDescent="0.25">
      <c r="A61" s="45"/>
      <c r="B61" s="46"/>
      <c r="C61" s="46"/>
      <c r="D61" s="46"/>
      <c r="E61" s="46"/>
      <c r="F61" s="45"/>
      <c r="G61" s="45"/>
      <c r="H61" s="45"/>
      <c r="I61" s="45"/>
      <c r="J61" s="45"/>
      <c r="K61" s="45"/>
    </row>
    <row r="62" spans="1:12" ht="18" customHeight="1" x14ac:dyDescent="0.25">
      <c r="A62" s="2008" t="s">
        <v>425</v>
      </c>
      <c r="B62" s="2008"/>
      <c r="C62" s="2008"/>
      <c r="D62" s="2008"/>
      <c r="E62" s="2008"/>
      <c r="F62" s="2008"/>
      <c r="G62" s="2008"/>
      <c r="H62" s="2008"/>
      <c r="I62" s="2008"/>
      <c r="J62" s="2008"/>
      <c r="K62" s="2008"/>
    </row>
    <row r="63" spans="1:12" x14ac:dyDescent="0.25">
      <c r="A63" s="45"/>
      <c r="B63" s="45"/>
      <c r="C63" s="46"/>
      <c r="D63" s="46"/>
      <c r="E63" s="46"/>
      <c r="F63" s="45"/>
      <c r="G63" s="45"/>
      <c r="H63" s="45"/>
      <c r="I63" s="45"/>
      <c r="J63" s="45"/>
      <c r="K63" s="45"/>
    </row>
    <row r="64" spans="1:12" ht="16.5" customHeight="1" x14ac:dyDescent="0.25">
      <c r="A64" s="2052" t="s">
        <v>102</v>
      </c>
      <c r="B64" s="2052"/>
      <c r="C64" s="2052"/>
      <c r="D64" s="46"/>
      <c r="E64" s="46"/>
      <c r="F64" s="46"/>
      <c r="G64" s="46"/>
      <c r="H64" s="46"/>
      <c r="I64" s="46"/>
      <c r="J64" s="46"/>
      <c r="K64" s="46"/>
    </row>
    <row r="65" spans="1:15" ht="12" customHeight="1" x14ac:dyDescent="0.25">
      <c r="A65" s="45"/>
      <c r="B65" s="46"/>
      <c r="C65" s="46"/>
      <c r="D65" s="46"/>
      <c r="E65" s="46"/>
      <c r="F65" s="45"/>
      <c r="G65" s="45"/>
      <c r="H65" s="45"/>
      <c r="I65" s="45"/>
      <c r="J65" s="45"/>
      <c r="K65" s="45"/>
    </row>
    <row r="66" spans="1:15" x14ac:dyDescent="0.25">
      <c r="A66" s="45"/>
      <c r="B66" s="655" t="s">
        <v>2012</v>
      </c>
      <c r="C66" s="372"/>
      <c r="D66" s="372"/>
      <c r="E66" s="372"/>
      <c r="F66" s="372"/>
      <c r="G66" s="372"/>
      <c r="H66" s="372"/>
      <c r="I66" s="372"/>
      <c r="J66" s="372"/>
      <c r="K66" s="45"/>
    </row>
    <row r="67" spans="1:15" ht="18" customHeight="1" x14ac:dyDescent="0.25">
      <c r="A67" s="45"/>
      <c r="B67" s="355"/>
      <c r="C67" s="356"/>
      <c r="D67" s="356"/>
      <c r="E67" s="356"/>
      <c r="F67" s="356"/>
      <c r="G67" s="356"/>
      <c r="H67" s="356"/>
      <c r="I67" s="356"/>
      <c r="J67" s="356"/>
      <c r="K67" s="45"/>
    </row>
    <row r="68" spans="1:15" ht="17.25" customHeight="1" x14ac:dyDescent="0.25">
      <c r="A68" s="45"/>
      <c r="B68" s="566" t="s">
        <v>969</v>
      </c>
      <c r="C68" s="356"/>
      <c r="D68" s="356"/>
      <c r="E68" s="356"/>
      <c r="F68" s="356"/>
      <c r="G68" s="356"/>
      <c r="H68" s="356"/>
      <c r="I68" s="356"/>
      <c r="J68" s="356"/>
      <c r="K68" s="45"/>
    </row>
    <row r="69" spans="1:15" ht="12" customHeight="1" x14ac:dyDescent="0.25">
      <c r="A69" s="45"/>
      <c r="B69" s="649"/>
      <c r="C69" s="356"/>
      <c r="D69" s="356"/>
      <c r="E69" s="356"/>
      <c r="F69" s="356"/>
      <c r="G69" s="356"/>
      <c r="H69" s="356"/>
      <c r="I69" s="356"/>
      <c r="J69" s="356"/>
      <c r="K69" s="45"/>
    </row>
    <row r="70" spans="1:15" ht="29.25" customHeight="1" x14ac:dyDescent="0.25">
      <c r="A70" s="45"/>
      <c r="B70" s="2076" t="s">
        <v>531</v>
      </c>
      <c r="C70" s="2077"/>
      <c r="D70" s="2077"/>
      <c r="E70" s="2077"/>
      <c r="F70" s="2050" t="s">
        <v>970</v>
      </c>
      <c r="G70" s="2050"/>
      <c r="H70" s="2050"/>
      <c r="I70" s="2051"/>
      <c r="J70" s="45"/>
      <c r="K70" s="45"/>
    </row>
    <row r="71" spans="1:15" ht="27" customHeight="1" x14ac:dyDescent="0.25">
      <c r="A71" s="45"/>
      <c r="B71" s="2070" t="s">
        <v>508</v>
      </c>
      <c r="C71" s="2071"/>
      <c r="D71" s="2072"/>
      <c r="E71" s="373" t="s">
        <v>53</v>
      </c>
      <c r="F71" s="1640"/>
      <c r="G71" s="1640"/>
      <c r="H71" s="1640"/>
      <c r="I71" s="1640"/>
      <c r="J71" s="45"/>
      <c r="K71" s="45"/>
      <c r="M71" s="53" t="b">
        <v>0</v>
      </c>
      <c r="N71" s="53" t="b">
        <v>0</v>
      </c>
      <c r="O71" s="35" t="str">
        <f>IF(AND(M71=TRUE,N71=FALSE,F71&lt;&gt;""),"Yes","No")</f>
        <v>No</v>
      </c>
    </row>
    <row r="72" spans="1:15" ht="27" customHeight="1" x14ac:dyDescent="0.25">
      <c r="A72" s="45"/>
      <c r="B72" s="2060" t="s">
        <v>509</v>
      </c>
      <c r="C72" s="2061"/>
      <c r="D72" s="2062"/>
      <c r="E72" s="373" t="s">
        <v>53</v>
      </c>
      <c r="F72" s="1634"/>
      <c r="G72" s="1634"/>
      <c r="H72" s="1634"/>
      <c r="I72" s="1634"/>
      <c r="J72" s="45"/>
      <c r="K72" s="45"/>
      <c r="M72" s="53"/>
      <c r="N72" s="53" t="b">
        <v>0</v>
      </c>
      <c r="O72" s="35" t="str">
        <f t="shared" ref="O72:O75" si="0">IF(AND(M72=TRUE,N72=FALSE,F72&lt;&gt;""),"Yes","No")</f>
        <v>No</v>
      </c>
    </row>
    <row r="73" spans="1:15" ht="27" customHeight="1" x14ac:dyDescent="0.25">
      <c r="A73" s="45"/>
      <c r="B73" s="2060" t="s">
        <v>510</v>
      </c>
      <c r="C73" s="2061"/>
      <c r="D73" s="2062"/>
      <c r="E73" s="373" t="s">
        <v>53</v>
      </c>
      <c r="F73" s="1634"/>
      <c r="G73" s="1634"/>
      <c r="H73" s="1634"/>
      <c r="I73" s="1634"/>
      <c r="J73" s="45"/>
      <c r="K73" s="45"/>
      <c r="M73" s="53" t="b">
        <v>0</v>
      </c>
      <c r="N73" s="53" t="b">
        <v>0</v>
      </c>
      <c r="O73" s="35" t="str">
        <f t="shared" si="0"/>
        <v>No</v>
      </c>
    </row>
    <row r="74" spans="1:15" ht="27" customHeight="1" x14ac:dyDescent="0.25">
      <c r="A74" s="45"/>
      <c r="B74" s="2060" t="s">
        <v>511</v>
      </c>
      <c r="C74" s="2061"/>
      <c r="D74" s="2062"/>
      <c r="E74" s="373" t="s">
        <v>53</v>
      </c>
      <c r="F74" s="1634"/>
      <c r="G74" s="1634"/>
      <c r="H74" s="1634"/>
      <c r="I74" s="1634"/>
      <c r="J74" s="45"/>
      <c r="K74" s="45"/>
      <c r="M74" s="53" t="b">
        <v>0</v>
      </c>
      <c r="N74" s="53" t="b">
        <v>0</v>
      </c>
      <c r="O74" s="35" t="str">
        <f t="shared" si="0"/>
        <v>No</v>
      </c>
    </row>
    <row r="75" spans="1:15" ht="27" customHeight="1" x14ac:dyDescent="0.25">
      <c r="A75" s="45"/>
      <c r="B75" s="2060" t="s">
        <v>512</v>
      </c>
      <c r="C75" s="2061"/>
      <c r="D75" s="2062"/>
      <c r="E75" s="373" t="s">
        <v>53</v>
      </c>
      <c r="F75" s="1634"/>
      <c r="G75" s="1634"/>
      <c r="H75" s="1634"/>
      <c r="I75" s="1634"/>
      <c r="J75" s="45"/>
      <c r="K75" s="45"/>
      <c r="M75" s="53"/>
      <c r="N75" s="53" t="b">
        <v>0</v>
      </c>
      <c r="O75" s="35" t="str">
        <f t="shared" si="0"/>
        <v>No</v>
      </c>
    </row>
    <row r="76" spans="1:15" ht="18" customHeight="1" x14ac:dyDescent="0.25">
      <c r="A76" s="45"/>
      <c r="B76" s="46"/>
      <c r="C76" s="46"/>
      <c r="D76" s="46"/>
      <c r="E76" s="46"/>
      <c r="F76" s="45"/>
      <c r="G76" s="45"/>
      <c r="H76" s="45"/>
      <c r="I76" s="45"/>
      <c r="J76" s="45"/>
      <c r="K76" s="45"/>
    </row>
    <row r="77" spans="1:15" ht="18" customHeight="1" x14ac:dyDescent="0.25">
      <c r="A77" s="45"/>
      <c r="B77" s="2078" t="s">
        <v>513</v>
      </c>
      <c r="C77" s="2078"/>
      <c r="D77" s="2078"/>
      <c r="E77" s="144" t="str">
        <f>IF(COUNTIF(E71:E75,"Yes")&gt;=2,"Yes","No")</f>
        <v>No</v>
      </c>
      <c r="F77" s="45"/>
      <c r="G77" s="45"/>
      <c r="H77" s="45"/>
      <c r="I77" s="45"/>
      <c r="J77" s="45"/>
      <c r="K77" s="45"/>
    </row>
    <row r="78" spans="1:15" ht="19.5" customHeight="1" x14ac:dyDescent="0.25">
      <c r="A78" s="45"/>
      <c r="B78" s="46"/>
      <c r="C78" s="46"/>
      <c r="D78" s="46"/>
      <c r="E78" s="45"/>
      <c r="F78" s="45"/>
      <c r="G78" s="45"/>
      <c r="H78" s="45"/>
      <c r="I78" s="45"/>
      <c r="J78" s="45"/>
      <c r="K78" s="45"/>
    </row>
    <row r="79" spans="1:15" ht="16.5" customHeight="1" x14ac:dyDescent="0.25">
      <c r="A79" s="2052" t="s">
        <v>84</v>
      </c>
      <c r="B79" s="2052"/>
      <c r="C79" s="2052"/>
      <c r="D79" s="46"/>
      <c r="E79" s="46"/>
      <c r="F79" s="46"/>
      <c r="G79" s="46"/>
      <c r="H79" s="46"/>
      <c r="I79" s="46"/>
      <c r="J79" s="46"/>
      <c r="K79" s="46"/>
    </row>
    <row r="80" spans="1:15" ht="16.5" customHeight="1" x14ac:dyDescent="0.25">
      <c r="A80" s="45"/>
      <c r="B80" s="46"/>
      <c r="C80" s="46"/>
      <c r="D80" s="46"/>
      <c r="E80" s="45"/>
      <c r="F80" s="45"/>
      <c r="G80" s="45"/>
      <c r="H80" s="45"/>
      <c r="I80" s="45"/>
      <c r="J80" s="45"/>
      <c r="K80" s="45"/>
    </row>
    <row r="81" spans="1:12" ht="18" customHeight="1" x14ac:dyDescent="0.25">
      <c r="A81" s="45"/>
      <c r="B81" s="2036" t="s">
        <v>85</v>
      </c>
      <c r="C81" s="2037"/>
      <c r="D81" s="2037"/>
      <c r="E81" s="2037"/>
      <c r="F81" s="2037"/>
      <c r="G81" s="1224" t="s">
        <v>907</v>
      </c>
      <c r="H81" s="2028" t="s">
        <v>908</v>
      </c>
      <c r="I81" s="2029"/>
      <c r="J81" s="45"/>
      <c r="K81" s="45"/>
    </row>
    <row r="82" spans="1:12" ht="30" customHeight="1" x14ac:dyDescent="0.25">
      <c r="A82" s="45"/>
      <c r="B82" s="2073" t="str">
        <f>Submittals!G65</f>
        <v>• Evidence that the strategies to reduce the waste generation were followed such as photographs, drawings, receipts, etc.</v>
      </c>
      <c r="C82" s="2074"/>
      <c r="D82" s="2074"/>
      <c r="E82" s="2074"/>
      <c r="F82" s="2075"/>
      <c r="G82" s="652" t="s">
        <v>53</v>
      </c>
      <c r="H82" s="1689"/>
      <c r="I82" s="1690"/>
      <c r="J82" s="45"/>
      <c r="K82" s="45"/>
      <c r="L82" s="35" t="str">
        <f>IF(OR(B82="/",B82="No evidence required at this submission stage"),"Yes",IF(G82="Submitted","Yes","No"))</f>
        <v>No</v>
      </c>
    </row>
    <row r="83" spans="1:12" ht="27" hidden="1" customHeight="1" x14ac:dyDescent="0.25">
      <c r="A83" s="45"/>
      <c r="B83" s="2057" t="str">
        <f>Submittals!G66</f>
        <v>/</v>
      </c>
      <c r="C83" s="2058"/>
      <c r="D83" s="2058"/>
      <c r="E83" s="2058"/>
      <c r="F83" s="2059"/>
      <c r="G83" s="652" t="s">
        <v>53</v>
      </c>
      <c r="H83" s="1741"/>
      <c r="I83" s="1742"/>
      <c r="J83" s="45"/>
      <c r="K83" s="45"/>
      <c r="L83" s="35" t="str">
        <f>IF(OR(B83="/",B83="No evidence required at this submission stage"),"Yes",IF(H83="Submitted","Yes","No"))</f>
        <v>Yes</v>
      </c>
    </row>
    <row r="84" spans="1:12" ht="18" customHeight="1" x14ac:dyDescent="0.25">
      <c r="A84" s="45"/>
      <c r="B84" s="46"/>
      <c r="C84" s="46"/>
      <c r="D84" s="46"/>
      <c r="E84" s="45"/>
      <c r="F84" s="45"/>
      <c r="G84" s="45"/>
      <c r="H84" s="45"/>
      <c r="I84" s="45"/>
      <c r="J84" s="45"/>
      <c r="K84" s="45"/>
    </row>
    <row r="85" spans="1:12" ht="16.5" customHeight="1" x14ac:dyDescent="0.25">
      <c r="A85" s="2052" t="s">
        <v>5</v>
      </c>
      <c r="B85" s="2052"/>
      <c r="C85" s="2052"/>
      <c r="D85" s="46"/>
      <c r="E85" s="46"/>
      <c r="F85" s="46"/>
      <c r="G85" s="46"/>
      <c r="H85" s="46"/>
      <c r="I85" s="46"/>
      <c r="J85" s="46"/>
      <c r="K85" s="46"/>
    </row>
    <row r="86" spans="1:12" ht="16.5" customHeight="1" x14ac:dyDescent="0.25">
      <c r="A86" s="45"/>
      <c r="B86" s="46"/>
      <c r="C86" s="46"/>
      <c r="D86" s="46"/>
      <c r="E86" s="46"/>
      <c r="F86" s="45"/>
      <c r="G86" s="45"/>
      <c r="H86" s="45"/>
      <c r="I86" s="45"/>
      <c r="J86" s="45"/>
      <c r="K86" s="45"/>
    </row>
    <row r="87" spans="1:12" ht="18" customHeight="1" x14ac:dyDescent="0.25">
      <c r="A87" s="45"/>
      <c r="B87" s="1253" t="s">
        <v>16</v>
      </c>
      <c r="C87" s="8">
        <f>IF(E77="Yes",1,0)</f>
        <v>0</v>
      </c>
      <c r="D87" s="46"/>
      <c r="E87" s="45"/>
      <c r="F87" s="45"/>
      <c r="G87" s="45"/>
      <c r="H87" s="45"/>
      <c r="I87" s="45"/>
      <c r="J87" s="45"/>
      <c r="K87" s="45"/>
    </row>
    <row r="88" spans="1:12" ht="18" customHeight="1" x14ac:dyDescent="0.25">
      <c r="A88" s="45"/>
      <c r="B88" s="1253" t="s">
        <v>133</v>
      </c>
      <c r="C88" s="108" t="str">
        <f>IF(AND(COUNTIF(L82:L82,"Yes")=1,C87&gt;0),"Yes","No")</f>
        <v>No</v>
      </c>
      <c r="D88" s="46"/>
      <c r="E88" s="46"/>
      <c r="F88" s="45"/>
      <c r="G88" s="45"/>
      <c r="H88" s="45"/>
      <c r="I88" s="45"/>
      <c r="J88" s="45"/>
      <c r="K88" s="45"/>
    </row>
    <row r="89" spans="1:12" ht="18" customHeight="1" x14ac:dyDescent="0.25">
      <c r="A89" s="45"/>
      <c r="B89" s="46"/>
      <c r="C89" s="46"/>
      <c r="D89" s="46"/>
      <c r="E89" s="46"/>
      <c r="F89" s="45"/>
      <c r="G89" s="45"/>
      <c r="H89" s="45"/>
      <c r="I89" s="45"/>
      <c r="J89" s="45"/>
      <c r="K89" s="45"/>
    </row>
    <row r="90" spans="1:12" hidden="1" x14ac:dyDescent="0.25">
      <c r="A90" s="45"/>
      <c r="B90" s="46"/>
      <c r="C90" s="46"/>
      <c r="D90" s="46"/>
      <c r="E90" s="46"/>
      <c r="F90" s="45"/>
      <c r="G90" s="45"/>
      <c r="H90" s="45"/>
      <c r="I90" s="45"/>
      <c r="J90" s="45"/>
      <c r="K90" s="45"/>
    </row>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sheetData>
  <sheetProtection algorithmName="SHA-512" hashValue="wr/O60hNOXhIFTUpxAFn16lh/OEcP4FLAMR4cWV+GAROyLNQm1CBXJt3SnJcoA/EQPdXeEBT0S0AH6Lwo3jmgQ==" saltValue="GtbEr9cTccJNSD/W2G4IzA==" spinCount="100000" sheet="1" objects="1" scenarios="1" formatRows="0"/>
  <mergeCells count="50">
    <mergeCell ref="A85:C85"/>
    <mergeCell ref="A79:C79"/>
    <mergeCell ref="B82:F82"/>
    <mergeCell ref="B70:E70"/>
    <mergeCell ref="B77:D77"/>
    <mergeCell ref="B72:D72"/>
    <mergeCell ref="B73:D73"/>
    <mergeCell ref="B81:F81"/>
    <mergeCell ref="F47:G47"/>
    <mergeCell ref="B74:D74"/>
    <mergeCell ref="B49:E49"/>
    <mergeCell ref="B71:D71"/>
    <mergeCell ref="F72:I72"/>
    <mergeCell ref="F73:I73"/>
    <mergeCell ref="A62:K62"/>
    <mergeCell ref="H53:I53"/>
    <mergeCell ref="B54:F54"/>
    <mergeCell ref="H54:I54"/>
    <mergeCell ref="B55:F55"/>
    <mergeCell ref="H55:I55"/>
    <mergeCell ref="B53:F53"/>
    <mergeCell ref="A64:C64"/>
    <mergeCell ref="A57:C57"/>
    <mergeCell ref="A1:K1"/>
    <mergeCell ref="A9:K9"/>
    <mergeCell ref="A16:K16"/>
    <mergeCell ref="A28:C28"/>
    <mergeCell ref="A18:C18"/>
    <mergeCell ref="I2:J4"/>
    <mergeCell ref="A5:K7"/>
    <mergeCell ref="B11:E11"/>
    <mergeCell ref="B12:E12"/>
    <mergeCell ref="B13:E13"/>
    <mergeCell ref="B26:E26"/>
    <mergeCell ref="H81:I81"/>
    <mergeCell ref="H82:I82"/>
    <mergeCell ref="H83:I83"/>
    <mergeCell ref="B14:E14"/>
    <mergeCell ref="F75:I75"/>
    <mergeCell ref="F70:I70"/>
    <mergeCell ref="F71:I71"/>
    <mergeCell ref="A51:C51"/>
    <mergeCell ref="F74:I74"/>
    <mergeCell ref="F37:G37"/>
    <mergeCell ref="F38:G38"/>
    <mergeCell ref="F39:G39"/>
    <mergeCell ref="B83:F83"/>
    <mergeCell ref="B75:D75"/>
    <mergeCell ref="B34:C34"/>
    <mergeCell ref="F46:G46"/>
  </mergeCells>
  <conditionalFormatting sqref="G82:I83">
    <cfRule type="expression" dxfId="234" priority="3">
      <formula>$B82="/"</formula>
    </cfRule>
    <cfRule type="expression" dxfId="233" priority="4">
      <formula>$B82="No evidence required at this submission stage"</formula>
    </cfRule>
  </conditionalFormatting>
  <conditionalFormatting sqref="G54:I55">
    <cfRule type="expression" dxfId="232" priority="1">
      <formula>$B54="/"</formula>
    </cfRule>
    <cfRule type="expression" dxfId="231" priority="2">
      <formula>$B54="No evidence required at this submission stage"</formula>
    </cfRule>
  </conditionalFormatting>
  <dataValidations count="6">
    <dataValidation allowBlank="1" showInputMessage="1" showErrorMessage="1" prompt="Onsite, recycling facilities, landfill, reuse location, etc." sqref="E37" xr:uid="{00000000-0002-0000-1D00-000000000000}"/>
    <dataValidation type="list" allowBlank="1" showInputMessage="1" showErrorMessage="1" sqref="D38:D47" xr:uid="{00000000-0002-0000-1D00-000001000000}">
      <formula1>"Select,Reuse,Recycling,Landfill"</formula1>
    </dataValidation>
    <dataValidation type="list" allowBlank="1" showInputMessage="1" showErrorMessage="1" sqref="D34" xr:uid="{00000000-0002-0000-1D00-000002000000}">
      <formula1>"Select,Volume (m3),Weight (kg)"</formula1>
    </dataValidation>
    <dataValidation allowBlank="1" showInputMessage="1" showErrorMessage="1" prompt="Which types of waste were targeted?_x000a_How the strategy was implemented?_x000a_Estimation of the reduction of waste generation" sqref="F70:I75" xr:uid="{00000000-0002-0000-1D00-000003000000}"/>
    <dataValidation type="list" allowBlank="1" showInputMessage="1" showErrorMessage="1" sqref="E71:E75 F26" xr:uid="{00000000-0002-0000-1D00-000004000000}">
      <formula1>"Select,Yes,No"</formula1>
    </dataValidation>
    <dataValidation type="list" allowBlank="1" showInputMessage="1" showErrorMessage="1" sqref="G82:G83 G54:G55" xr:uid="{00000000-0002-0000-1D00-000005000000}">
      <formula1>"Select,Submitted,Not submitted"</formula1>
    </dataValidation>
  </dataValidations>
  <hyperlinks>
    <hyperlink ref="K3" location="'MR-2 Sustainable Furniture'!B3" tooltip="MR-2" display="MR-2" xr:uid="{31B12966-C31B-4869-9761-5EAF68940166}"/>
    <hyperlink ref="K2" location="'MR-1 Sustainable Materials'!B3" tooltip="MR-1" display="MR-1" xr:uid="{E6A0A84D-A116-4FDE-AD38-EEB5AB525462}"/>
    <hyperlink ref="K4" location="'MR-4 Operation Waste Management'!B3" tooltip="MR-4" display="MR-4" xr:uid="{89A0BA3E-ED76-4BB7-B1BC-90FF0E43CD59}"/>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5F4970"/>
  </sheetPr>
  <dimension ref="A1:Q87"/>
  <sheetViews>
    <sheetView showRowColHeaders="0" workbookViewId="0">
      <pane ySplit="8" topLeftCell="A9" activePane="bottomLeft" state="frozen"/>
      <selection activeCell="H22" sqref="H22"/>
      <selection pane="bottomLeft" activeCell="A16" sqref="A16:K16"/>
    </sheetView>
  </sheetViews>
  <sheetFormatPr defaultColWidth="0" defaultRowHeight="0" customHeight="1" zeroHeight="1" x14ac:dyDescent="0.25"/>
  <cols>
    <col min="1" max="1" width="5.7109375" style="35" customWidth="1"/>
    <col min="2" max="7" width="18.42578125" style="35" customWidth="1"/>
    <col min="8" max="8" width="21.42578125" style="35" customWidth="1"/>
    <col min="9" max="10" width="10.42578125" style="35" customWidth="1"/>
    <col min="11" max="11" width="9.7109375" style="35" customWidth="1"/>
    <col min="12" max="14" width="9.140625" style="35" hidden="1" customWidth="1"/>
    <col min="15" max="16" width="11.140625" style="35" hidden="1" customWidth="1"/>
    <col min="17" max="16384" width="9.140625" style="35" hidden="1"/>
  </cols>
  <sheetData>
    <row r="1" spans="1:12" ht="25.5" customHeight="1" x14ac:dyDescent="0.25">
      <c r="A1" s="1985" t="s">
        <v>2290</v>
      </c>
      <c r="B1" s="1985"/>
      <c r="C1" s="1985"/>
      <c r="D1" s="1985"/>
      <c r="E1" s="1985"/>
      <c r="F1" s="1985"/>
      <c r="G1" s="1985"/>
      <c r="H1" s="1985"/>
      <c r="I1" s="1985"/>
      <c r="J1" s="1985"/>
      <c r="K1" s="1985"/>
    </row>
    <row r="2" spans="1:12" ht="15" customHeight="1" x14ac:dyDescent="0.25">
      <c r="A2" s="45"/>
      <c r="B2" s="46"/>
      <c r="C2" s="46"/>
      <c r="D2" s="46"/>
      <c r="E2" s="46"/>
      <c r="F2" s="45"/>
      <c r="G2" s="1753" t="s">
        <v>2315</v>
      </c>
      <c r="H2" s="1753"/>
      <c r="I2" s="1753"/>
      <c r="J2" s="1753"/>
      <c r="K2" s="1225" t="s">
        <v>2286</v>
      </c>
    </row>
    <row r="3" spans="1:12" ht="15" customHeight="1" x14ac:dyDescent="0.25">
      <c r="A3" s="45"/>
      <c r="B3" s="46"/>
      <c r="C3" s="46"/>
      <c r="D3" s="46"/>
      <c r="E3" s="46"/>
      <c r="F3" s="45"/>
      <c r="G3" s="1753"/>
      <c r="H3" s="1753"/>
      <c r="I3" s="1753"/>
      <c r="J3" s="1753"/>
      <c r="K3" s="1225" t="s">
        <v>2285</v>
      </c>
    </row>
    <row r="4" spans="1:12" ht="15" customHeight="1" x14ac:dyDescent="0.25">
      <c r="A4" s="45"/>
      <c r="B4" s="46"/>
      <c r="C4" s="46"/>
      <c r="D4" s="46"/>
      <c r="E4" s="46"/>
      <c r="F4" s="45"/>
      <c r="G4" s="1754"/>
      <c r="H4" s="1754"/>
      <c r="I4" s="1754"/>
      <c r="J4" s="1754"/>
      <c r="K4" s="1225" t="s">
        <v>2283</v>
      </c>
    </row>
    <row r="5" spans="1:12" ht="21" customHeight="1" x14ac:dyDescent="0.25">
      <c r="A5" s="1656" t="s">
        <v>2632</v>
      </c>
      <c r="B5" s="1657"/>
      <c r="C5" s="1657"/>
      <c r="D5" s="1657"/>
      <c r="E5" s="1657"/>
      <c r="F5" s="1657"/>
      <c r="G5" s="1657"/>
      <c r="H5" s="1657"/>
      <c r="I5" s="1657"/>
      <c r="J5" s="1657"/>
      <c r="K5" s="1658"/>
    </row>
    <row r="6" spans="1:12" ht="21" customHeight="1" x14ac:dyDescent="0.25">
      <c r="A6" s="1659"/>
      <c r="B6" s="1660"/>
      <c r="C6" s="1660"/>
      <c r="D6" s="1660"/>
      <c r="E6" s="1660"/>
      <c r="F6" s="1660"/>
      <c r="G6" s="1660"/>
      <c r="H6" s="1660"/>
      <c r="I6" s="1660"/>
      <c r="J6" s="1660"/>
      <c r="K6" s="1661"/>
    </row>
    <row r="7" spans="1:12" ht="21" customHeight="1" x14ac:dyDescent="0.25">
      <c r="A7" s="1662"/>
      <c r="B7" s="1663"/>
      <c r="C7" s="1663"/>
      <c r="D7" s="1663"/>
      <c r="E7" s="1663"/>
      <c r="F7" s="1663"/>
      <c r="G7" s="1663"/>
      <c r="H7" s="1663"/>
      <c r="I7" s="1663"/>
      <c r="J7" s="1663"/>
      <c r="K7" s="1664"/>
    </row>
    <row r="8" spans="1:12" ht="12" customHeight="1" x14ac:dyDescent="0.25">
      <c r="A8" s="45"/>
      <c r="B8" s="46"/>
      <c r="C8" s="46"/>
      <c r="D8" s="46"/>
      <c r="E8" s="46"/>
      <c r="F8" s="45"/>
      <c r="G8" s="45"/>
      <c r="H8" s="45"/>
      <c r="I8" s="45"/>
      <c r="J8" s="45"/>
      <c r="K8" s="45"/>
    </row>
    <row r="9" spans="1:12" ht="18" customHeight="1" x14ac:dyDescent="0.25">
      <c r="A9" s="2008" t="s">
        <v>82</v>
      </c>
      <c r="B9" s="2008"/>
      <c r="C9" s="2008"/>
      <c r="D9" s="2008"/>
      <c r="E9" s="2008"/>
      <c r="F9" s="2008"/>
      <c r="G9" s="2008"/>
      <c r="H9" s="2008"/>
      <c r="I9" s="2008"/>
      <c r="J9" s="2008"/>
      <c r="K9" s="2008"/>
    </row>
    <row r="10" spans="1:12" ht="15" x14ac:dyDescent="0.25">
      <c r="A10" s="45"/>
      <c r="B10" s="278"/>
      <c r="C10" s="278"/>
      <c r="D10" s="278"/>
      <c r="E10" s="278"/>
      <c r="F10" s="278"/>
      <c r="G10" s="278"/>
      <c r="H10" s="278"/>
      <c r="I10" s="45"/>
      <c r="J10" s="45"/>
      <c r="K10" s="45"/>
    </row>
    <row r="11" spans="1:12" ht="18" customHeight="1" x14ac:dyDescent="0.25">
      <c r="A11" s="45"/>
      <c r="B11" s="2084" t="s">
        <v>83</v>
      </c>
      <c r="C11" s="2085"/>
      <c r="D11" s="2085"/>
      <c r="E11" s="2085"/>
      <c r="F11" s="1251" t="s">
        <v>64</v>
      </c>
      <c r="G11" s="1252" t="s">
        <v>16</v>
      </c>
      <c r="H11" s="1252" t="s">
        <v>133</v>
      </c>
      <c r="I11" s="264"/>
      <c r="J11" s="45"/>
      <c r="K11" s="45"/>
    </row>
    <row r="12" spans="1:12" ht="30" customHeight="1" x14ac:dyDescent="0.25">
      <c r="A12" s="45"/>
      <c r="B12" s="1797" t="s">
        <v>2166</v>
      </c>
      <c r="C12" s="1798"/>
      <c r="D12" s="1798"/>
      <c r="E12" s="1799"/>
      <c r="F12" s="275">
        <v>1</v>
      </c>
      <c r="G12" s="260">
        <f>C41</f>
        <v>0</v>
      </c>
      <c r="H12" s="260" t="str">
        <f>C42</f>
        <v>No</v>
      </c>
      <c r="I12" s="68"/>
      <c r="J12" s="68"/>
      <c r="K12" s="45"/>
      <c r="L12" s="35" t="str">
        <f>IF(G12&lt;&gt;0,IF(H12="No","No","Yes"),"Yes")</f>
        <v>Yes</v>
      </c>
    </row>
    <row r="13" spans="1:12" ht="30" customHeight="1" x14ac:dyDescent="0.25">
      <c r="A13" s="45"/>
      <c r="B13" s="1797" t="s">
        <v>2215</v>
      </c>
      <c r="C13" s="1798"/>
      <c r="D13" s="1798"/>
      <c r="E13" s="1799"/>
      <c r="F13" s="281">
        <v>1</v>
      </c>
      <c r="G13" s="281">
        <f>C83</f>
        <v>0</v>
      </c>
      <c r="H13" s="281" t="str">
        <f>C84</f>
        <v>No</v>
      </c>
      <c r="I13" s="68"/>
      <c r="J13" s="68"/>
      <c r="K13" s="45"/>
      <c r="L13" s="35" t="str">
        <f>IF(G13&lt;&gt;0,IF(H13="No","No","Yes"),"Yes")</f>
        <v>Yes</v>
      </c>
    </row>
    <row r="14" spans="1:12" ht="19.5" customHeight="1" x14ac:dyDescent="0.25">
      <c r="A14" s="45"/>
      <c r="B14" s="1810" t="s">
        <v>25</v>
      </c>
      <c r="C14" s="1811"/>
      <c r="D14" s="1811"/>
      <c r="E14" s="1812"/>
      <c r="F14" s="498">
        <v>2</v>
      </c>
      <c r="G14" s="498">
        <f>MIN(2,G12+G13)</f>
        <v>0</v>
      </c>
      <c r="H14" s="498" t="str">
        <f>IF(COUNTIF(H12:H13,"No")=2,"No",IF(COUNTIF(L12:L13,"Yes")=2,"Yes","No"))</f>
        <v>No</v>
      </c>
      <c r="I14" s="68"/>
      <c r="J14" s="68"/>
      <c r="K14" s="45"/>
    </row>
    <row r="15" spans="1:12" ht="15" x14ac:dyDescent="0.25">
      <c r="A15" s="45"/>
      <c r="B15" s="46"/>
      <c r="C15" s="46"/>
      <c r="D15" s="46"/>
      <c r="E15" s="46"/>
      <c r="F15" s="45"/>
      <c r="G15" s="45"/>
      <c r="H15" s="45"/>
      <c r="I15" s="45"/>
      <c r="J15" s="45"/>
      <c r="K15" s="45"/>
    </row>
    <row r="16" spans="1:12" ht="18" customHeight="1" x14ac:dyDescent="0.25">
      <c r="A16" s="2008" t="s">
        <v>438</v>
      </c>
      <c r="B16" s="2008"/>
      <c r="C16" s="2008"/>
      <c r="D16" s="2008"/>
      <c r="E16" s="2008"/>
      <c r="F16" s="2008"/>
      <c r="G16" s="2008"/>
      <c r="H16" s="2008"/>
      <c r="I16" s="2008"/>
      <c r="J16" s="2008"/>
      <c r="K16" s="2008"/>
    </row>
    <row r="17" spans="1:13" ht="15" x14ac:dyDescent="0.25">
      <c r="A17" s="45"/>
      <c r="B17" s="46"/>
      <c r="C17" s="46"/>
      <c r="D17" s="46"/>
      <c r="E17" s="46"/>
      <c r="F17" s="46"/>
      <c r="G17" s="45"/>
      <c r="H17" s="45"/>
      <c r="I17" s="45"/>
      <c r="J17" s="45"/>
      <c r="K17" s="45"/>
    </row>
    <row r="18" spans="1:13" ht="18" customHeight="1" x14ac:dyDescent="0.25">
      <c r="A18" s="2052" t="s">
        <v>102</v>
      </c>
      <c r="B18" s="2052"/>
      <c r="C18" s="2052"/>
      <c r="D18" s="46"/>
      <c r="E18" s="46"/>
      <c r="F18" s="46"/>
      <c r="G18" s="412"/>
      <c r="H18" s="46"/>
      <c r="I18" s="46"/>
      <c r="J18" s="46"/>
      <c r="K18" s="46"/>
    </row>
    <row r="19" spans="1:13" ht="15" x14ac:dyDescent="0.25">
      <c r="A19" s="45"/>
      <c r="B19" s="46"/>
      <c r="C19" s="46"/>
      <c r="D19" s="46"/>
      <c r="E19" s="46"/>
      <c r="F19" s="46"/>
      <c r="G19" s="45"/>
      <c r="H19" s="45"/>
      <c r="I19" s="45"/>
      <c r="J19" s="45"/>
      <c r="K19" s="45"/>
    </row>
    <row r="20" spans="1:13" ht="15" x14ac:dyDescent="0.25">
      <c r="A20" s="45"/>
      <c r="B20" s="510" t="s">
        <v>567</v>
      </c>
      <c r="C20" s="46"/>
      <c r="D20" s="46"/>
      <c r="E20" s="46"/>
      <c r="F20" s="46"/>
      <c r="G20" s="45"/>
      <c r="H20" s="45"/>
      <c r="I20" s="45"/>
      <c r="J20" s="45"/>
      <c r="K20" s="45"/>
    </row>
    <row r="21" spans="1:13" ht="13.5" customHeight="1" x14ac:dyDescent="0.25">
      <c r="A21" s="45"/>
      <c r="B21" s="46"/>
      <c r="C21" s="46"/>
      <c r="D21" s="46"/>
      <c r="E21" s="46"/>
      <c r="F21" s="46"/>
      <c r="G21" s="45"/>
      <c r="H21" s="45"/>
      <c r="I21" s="45"/>
      <c r="J21" s="45"/>
      <c r="K21" s="45"/>
    </row>
    <row r="22" spans="1:13" ht="12" customHeight="1" x14ac:dyDescent="0.25">
      <c r="A22" s="45"/>
      <c r="B22" s="46"/>
      <c r="C22" s="46"/>
      <c r="D22" s="46"/>
      <c r="E22" s="46"/>
      <c r="F22" s="46"/>
      <c r="G22" s="45"/>
      <c r="H22" s="45"/>
      <c r="I22" s="45"/>
      <c r="J22" s="45"/>
      <c r="K22" s="45"/>
    </row>
    <row r="23" spans="1:13" ht="15" customHeight="1" x14ac:dyDescent="0.25">
      <c r="A23" s="45"/>
      <c r="B23" s="1836" t="s">
        <v>866</v>
      </c>
      <c r="C23" s="1836"/>
      <c r="D23" s="1836"/>
      <c r="E23" s="1836"/>
      <c r="F23" s="1836"/>
      <c r="G23" s="1836"/>
      <c r="H23" s="45"/>
      <c r="I23" s="45"/>
      <c r="J23" s="45"/>
      <c r="K23" s="45"/>
    </row>
    <row r="24" spans="1:13" ht="11.25" customHeight="1" x14ac:dyDescent="0.25">
      <c r="A24" s="45"/>
      <c r="B24" s="611"/>
      <c r="C24" s="611"/>
      <c r="D24" s="611"/>
      <c r="E24" s="611"/>
      <c r="F24" s="611"/>
      <c r="G24" s="45"/>
      <c r="H24" s="45"/>
      <c r="I24" s="45"/>
      <c r="J24" s="45"/>
      <c r="K24" s="45"/>
    </row>
    <row r="25" spans="1:13" ht="18" customHeight="1" x14ac:dyDescent="0.25">
      <c r="A25" s="45"/>
      <c r="B25" s="2086" t="s">
        <v>867</v>
      </c>
      <c r="C25" s="2087"/>
      <c r="D25" s="2087"/>
      <c r="E25" s="2088" t="str">
        <f>IF('Project information'!$C$7="Certification stage","Actions and management practices implemented","Actions and management practices to be implemented")</f>
        <v>Actions and management practices implemented</v>
      </c>
      <c r="F25" s="2088"/>
      <c r="G25" s="2088"/>
      <c r="H25" s="2088"/>
      <c r="I25" s="2088"/>
      <c r="J25" s="45"/>
      <c r="K25" s="45"/>
    </row>
    <row r="26" spans="1:13" ht="63" customHeight="1" x14ac:dyDescent="0.25">
      <c r="A26" s="45"/>
      <c r="B26" s="2090" t="s">
        <v>1288</v>
      </c>
      <c r="C26" s="2058"/>
      <c r="D26" s="2058"/>
      <c r="E26" s="2089"/>
      <c r="F26" s="2089"/>
      <c r="G26" s="2089"/>
      <c r="H26" s="2089"/>
      <c r="I26" s="2089"/>
      <c r="J26" s="45"/>
      <c r="K26" s="45"/>
      <c r="L26" s="67"/>
      <c r="M26" s="67"/>
    </row>
    <row r="27" spans="1:13" ht="63" customHeight="1" x14ac:dyDescent="0.25">
      <c r="A27" s="45"/>
      <c r="B27" s="2090" t="s">
        <v>870</v>
      </c>
      <c r="C27" s="2058"/>
      <c r="D27" s="2092"/>
      <c r="E27" s="2089"/>
      <c r="F27" s="2089"/>
      <c r="G27" s="2089"/>
      <c r="H27" s="2089"/>
      <c r="I27" s="2089"/>
      <c r="J27" s="45"/>
      <c r="K27" s="45"/>
      <c r="L27" s="67"/>
      <c r="M27" s="67"/>
    </row>
    <row r="28" spans="1:13" ht="63" customHeight="1" x14ac:dyDescent="0.25">
      <c r="A28" s="45"/>
      <c r="B28" s="2090" t="s">
        <v>868</v>
      </c>
      <c r="C28" s="2058"/>
      <c r="D28" s="2092"/>
      <c r="E28" s="2089"/>
      <c r="F28" s="2089"/>
      <c r="G28" s="2089"/>
      <c r="H28" s="2089"/>
      <c r="I28" s="2089"/>
      <c r="J28" s="45"/>
      <c r="K28" s="45"/>
      <c r="L28" s="67"/>
      <c r="M28" s="67"/>
    </row>
    <row r="29" spans="1:13" ht="63" customHeight="1" x14ac:dyDescent="0.25">
      <c r="A29" s="45"/>
      <c r="B29" s="2090" t="s">
        <v>869</v>
      </c>
      <c r="C29" s="2058"/>
      <c r="D29" s="2092"/>
      <c r="E29" s="2089"/>
      <c r="F29" s="2089"/>
      <c r="G29" s="2089"/>
      <c r="H29" s="2089"/>
      <c r="I29" s="2089"/>
      <c r="J29" s="45"/>
      <c r="K29" s="45"/>
      <c r="L29" s="67"/>
      <c r="M29" s="67"/>
    </row>
    <row r="30" spans="1:13" ht="18.75" customHeight="1" x14ac:dyDescent="0.25">
      <c r="A30" s="45"/>
      <c r="B30" s="46"/>
      <c r="C30" s="46"/>
      <c r="D30" s="46"/>
      <c r="E30" s="46"/>
      <c r="F30" s="45"/>
      <c r="G30" s="45"/>
      <c r="H30" s="45"/>
      <c r="I30" s="45"/>
      <c r="J30" s="45"/>
      <c r="K30" s="65"/>
    </row>
    <row r="31" spans="1:13" ht="18" customHeight="1" x14ac:dyDescent="0.25">
      <c r="A31" s="45"/>
      <c r="B31" s="2078" t="s">
        <v>152</v>
      </c>
      <c r="C31" s="2078"/>
      <c r="D31" s="144" t="str">
        <f>IF(AND(E26&lt;&gt;"",E28&lt;&gt;"",E27&lt;&gt;"",E29&lt;&gt;""),"Yes","No")</f>
        <v>No</v>
      </c>
      <c r="E31" s="46"/>
      <c r="F31" s="45"/>
      <c r="G31" s="45"/>
      <c r="H31" s="45"/>
      <c r="I31" s="45"/>
      <c r="J31" s="45"/>
      <c r="K31" s="65"/>
    </row>
    <row r="32" spans="1:13" customFormat="1" ht="18.75" customHeight="1" x14ac:dyDescent="0.25">
      <c r="A32" s="45"/>
      <c r="B32" s="46"/>
      <c r="C32" s="46"/>
      <c r="D32" s="46"/>
      <c r="E32" s="46"/>
      <c r="F32" s="45"/>
      <c r="G32" s="45"/>
      <c r="H32" s="45"/>
      <c r="I32" s="45"/>
      <c r="J32" s="45"/>
      <c r="K32" s="65"/>
    </row>
    <row r="33" spans="1:15" customFormat="1" ht="18" customHeight="1" x14ac:dyDescent="0.25">
      <c r="A33" s="2052" t="s">
        <v>84</v>
      </c>
      <c r="B33" s="2052"/>
      <c r="C33" s="2052"/>
      <c r="D33" s="46"/>
      <c r="E33" s="46"/>
      <c r="F33" s="46"/>
      <c r="G33" s="46"/>
      <c r="H33" s="46"/>
      <c r="I33" s="46"/>
      <c r="J33" s="46"/>
      <c r="K33" s="46"/>
    </row>
    <row r="34" spans="1:15" customFormat="1" ht="15" x14ac:dyDescent="0.25">
      <c r="A34" s="45"/>
      <c r="B34" s="46"/>
      <c r="C34" s="46"/>
      <c r="D34" s="46"/>
      <c r="E34" s="46"/>
      <c r="F34" s="45"/>
      <c r="G34" s="45"/>
      <c r="H34" s="45"/>
      <c r="I34" s="45"/>
      <c r="J34" s="45"/>
      <c r="K34" s="65"/>
    </row>
    <row r="35" spans="1:15" customFormat="1" ht="21" customHeight="1" x14ac:dyDescent="0.25">
      <c r="A35" s="45"/>
      <c r="B35" s="2036" t="s">
        <v>85</v>
      </c>
      <c r="C35" s="2037"/>
      <c r="D35" s="2037"/>
      <c r="E35" s="2037"/>
      <c r="F35" s="2037"/>
      <c r="G35" s="1224" t="s">
        <v>907</v>
      </c>
      <c r="H35" s="2028" t="s">
        <v>908</v>
      </c>
      <c r="I35" s="2029"/>
      <c r="J35" s="45"/>
      <c r="K35" s="45"/>
    </row>
    <row r="36" spans="1:15" customFormat="1" ht="25.5" customHeight="1" x14ac:dyDescent="0.25">
      <c r="A36" s="45"/>
      <c r="B36" s="1648" t="str">
        <f>Submittals!G67</f>
        <v>• Copy of the environmentally friendly solid waste management system manual signed by the tenant</v>
      </c>
      <c r="C36" s="1649"/>
      <c r="D36" s="1649"/>
      <c r="E36" s="1649"/>
      <c r="F36" s="1650"/>
      <c r="G36" s="717" t="s">
        <v>53</v>
      </c>
      <c r="H36" s="1689"/>
      <c r="I36" s="1690"/>
      <c r="J36" s="45"/>
      <c r="K36" s="45"/>
      <c r="L36" s="35" t="str">
        <f>IF(OR(B36="/",B36="No evidence required at this submission stage"),"Yes",IF(G36="Submitted","Yes","No"))</f>
        <v>No</v>
      </c>
      <c r="O36" s="35"/>
    </row>
    <row r="37" spans="1:15" customFormat="1" ht="25.5" hidden="1" customHeight="1" x14ac:dyDescent="0.25">
      <c r="A37" s="45"/>
      <c r="B37" s="1648" t="str">
        <f>Submittals!G68</f>
        <v>/</v>
      </c>
      <c r="C37" s="1649"/>
      <c r="D37" s="1649"/>
      <c r="E37" s="1649"/>
      <c r="F37" s="1650"/>
      <c r="G37" s="717" t="s">
        <v>53</v>
      </c>
      <c r="H37" s="1741"/>
      <c r="I37" s="1742"/>
      <c r="J37" s="45"/>
      <c r="K37" s="45"/>
      <c r="L37" s="35" t="str">
        <f>IF(OR(B37="/",B37="No evidence required at this submission stage"),"Yes",IF(G37="Submitted","Yes","No"))</f>
        <v>Yes</v>
      </c>
      <c r="O37" s="35"/>
    </row>
    <row r="38" spans="1:15" ht="19.5" customHeight="1" x14ac:dyDescent="0.25">
      <c r="A38" s="45"/>
      <c r="B38" s="46"/>
      <c r="C38" s="46"/>
      <c r="D38" s="46"/>
      <c r="E38" s="46"/>
      <c r="F38" s="45"/>
      <c r="G38" s="45"/>
      <c r="H38" s="45"/>
      <c r="I38" s="45"/>
      <c r="J38" s="45"/>
      <c r="K38" s="65"/>
    </row>
    <row r="39" spans="1:15" ht="18" customHeight="1" x14ac:dyDescent="0.25">
      <c r="A39" s="2052" t="s">
        <v>5</v>
      </c>
      <c r="B39" s="2052"/>
      <c r="C39" s="2052"/>
      <c r="D39" s="46"/>
      <c r="E39" s="46"/>
      <c r="F39" s="46"/>
      <c r="G39" s="46"/>
      <c r="H39" s="46"/>
      <c r="I39" s="46"/>
      <c r="J39" s="46"/>
      <c r="K39" s="46"/>
    </row>
    <row r="40" spans="1:15" ht="15" x14ac:dyDescent="0.25">
      <c r="A40" s="45"/>
      <c r="B40" s="46"/>
      <c r="C40" s="46"/>
      <c r="D40" s="46"/>
      <c r="E40" s="46"/>
      <c r="F40" s="45"/>
      <c r="G40" s="45"/>
      <c r="H40" s="45"/>
      <c r="I40" s="45"/>
      <c r="J40" s="45"/>
      <c r="K40" s="45"/>
    </row>
    <row r="41" spans="1:15" ht="18" customHeight="1" x14ac:dyDescent="0.25">
      <c r="A41" s="45"/>
      <c r="B41" s="1253" t="s">
        <v>16</v>
      </c>
      <c r="C41" s="8">
        <f>IF(D31="Yes",1,0)</f>
        <v>0</v>
      </c>
      <c r="D41" s="45"/>
      <c r="E41" s="45"/>
      <c r="F41" s="45"/>
      <c r="G41" s="45"/>
      <c r="H41" s="45"/>
      <c r="I41" s="45"/>
      <c r="J41" s="45"/>
      <c r="K41" s="45"/>
    </row>
    <row r="42" spans="1:15" ht="18" customHeight="1" x14ac:dyDescent="0.25">
      <c r="A42" s="45"/>
      <c r="B42" s="1253" t="s">
        <v>133</v>
      </c>
      <c r="C42" s="108" t="str">
        <f>IF(AND(COUNTIF(L36:L36,"Yes")=1,C41&gt;0),"Yes","No")</f>
        <v>No</v>
      </c>
      <c r="D42" s="45"/>
      <c r="E42" s="45"/>
      <c r="F42" s="45"/>
      <c r="G42" s="45"/>
      <c r="H42" s="45"/>
      <c r="I42" s="45"/>
      <c r="J42" s="45"/>
      <c r="K42" s="45"/>
    </row>
    <row r="43" spans="1:15" ht="20.25" customHeight="1" x14ac:dyDescent="0.25">
      <c r="A43" s="45"/>
      <c r="B43" s="46"/>
      <c r="C43" s="46"/>
      <c r="D43" s="46"/>
      <c r="E43" s="46"/>
      <c r="F43" s="45"/>
      <c r="G43" s="45"/>
      <c r="H43" s="45"/>
      <c r="I43" s="45"/>
      <c r="J43" s="45"/>
      <c r="K43" s="45"/>
    </row>
    <row r="44" spans="1:15" ht="18" customHeight="1" x14ac:dyDescent="0.25">
      <c r="A44" s="2008" t="s">
        <v>439</v>
      </c>
      <c r="B44" s="2008"/>
      <c r="C44" s="2008"/>
      <c r="D44" s="2008"/>
      <c r="E44" s="2008"/>
      <c r="F44" s="2008"/>
      <c r="G44" s="2008"/>
      <c r="H44" s="2008"/>
      <c r="I44" s="2008"/>
      <c r="J44" s="2008"/>
      <c r="K44" s="2008"/>
    </row>
    <row r="45" spans="1:15" ht="15" x14ac:dyDescent="0.25">
      <c r="A45" s="45"/>
      <c r="B45" s="46"/>
      <c r="C45" s="46"/>
      <c r="D45" s="46"/>
      <c r="E45" s="46"/>
      <c r="F45" s="46"/>
      <c r="G45" s="45"/>
      <c r="H45" s="45"/>
      <c r="I45" s="45"/>
      <c r="J45" s="45"/>
      <c r="K45" s="45"/>
    </row>
    <row r="46" spans="1:15" ht="16.5" customHeight="1" x14ac:dyDescent="0.25">
      <c r="A46" s="2052" t="s">
        <v>102</v>
      </c>
      <c r="B46" s="2052"/>
      <c r="C46" s="2052"/>
      <c r="D46" s="46"/>
      <c r="E46" s="46"/>
      <c r="F46" s="46"/>
      <c r="G46" s="46"/>
      <c r="H46" s="46"/>
      <c r="I46" s="46"/>
      <c r="J46" s="46"/>
      <c r="K46" s="46"/>
    </row>
    <row r="47" spans="1:15" ht="15" x14ac:dyDescent="0.25">
      <c r="A47" s="45"/>
      <c r="B47" s="46"/>
      <c r="C47" s="46"/>
      <c r="D47" s="46"/>
      <c r="E47" s="46"/>
      <c r="F47" s="46"/>
      <c r="G47" s="45"/>
      <c r="H47" s="45"/>
      <c r="I47" s="45"/>
      <c r="J47" s="45"/>
      <c r="K47" s="45"/>
    </row>
    <row r="48" spans="1:15" ht="15" x14ac:dyDescent="0.25">
      <c r="A48" s="45"/>
      <c r="B48" s="749" t="s">
        <v>2210</v>
      </c>
      <c r="C48" s="415"/>
      <c r="D48" s="415"/>
      <c r="E48" s="415"/>
      <c r="F48" s="415"/>
      <c r="G48" s="415"/>
      <c r="H48" s="415"/>
      <c r="I48" s="416"/>
      <c r="J48" s="45"/>
      <c r="K48" s="45"/>
    </row>
    <row r="49" spans="1:17" ht="15" x14ac:dyDescent="0.25">
      <c r="A49" s="45"/>
      <c r="B49" s="512" t="s">
        <v>568</v>
      </c>
      <c r="C49" s="417"/>
      <c r="D49" s="417"/>
      <c r="E49" s="417"/>
      <c r="F49" s="417"/>
      <c r="G49" s="417"/>
      <c r="H49" s="417"/>
      <c r="I49" s="418"/>
      <c r="J49" s="45"/>
      <c r="K49" s="45"/>
    </row>
    <row r="50" spans="1:17" ht="15" x14ac:dyDescent="0.25">
      <c r="A50" s="45"/>
      <c r="B50" s="813" t="s">
        <v>1894</v>
      </c>
      <c r="C50" s="419"/>
      <c r="D50" s="419"/>
      <c r="E50" s="419"/>
      <c r="F50" s="419"/>
      <c r="G50" s="419"/>
      <c r="H50" s="419"/>
      <c r="I50" s="420"/>
      <c r="J50" s="45"/>
      <c r="K50" s="45"/>
    </row>
    <row r="51" spans="1:17" ht="15.75" customHeight="1" x14ac:dyDescent="0.25">
      <c r="A51" s="45"/>
      <c r="B51" s="46"/>
      <c r="C51" s="46"/>
      <c r="D51" s="46"/>
      <c r="E51" s="46"/>
      <c r="F51" s="46"/>
      <c r="G51" s="45"/>
      <c r="H51" s="45"/>
      <c r="I51" s="45"/>
      <c r="J51" s="45"/>
      <c r="K51" s="45"/>
    </row>
    <row r="52" spans="1:17" ht="15" x14ac:dyDescent="0.25">
      <c r="A52" s="45"/>
      <c r="B52" s="566" t="s">
        <v>2211</v>
      </c>
      <c r="C52" s="46"/>
      <c r="D52" s="46"/>
      <c r="E52" s="46"/>
      <c r="F52" s="46"/>
      <c r="G52" s="45"/>
      <c r="H52" s="45"/>
      <c r="I52" s="45"/>
      <c r="J52" s="45"/>
      <c r="K52" s="45"/>
    </row>
    <row r="53" spans="1:17" ht="12" customHeight="1" x14ac:dyDescent="0.25">
      <c r="A53" s="45"/>
      <c r="B53" s="46"/>
      <c r="C53" s="46"/>
      <c r="D53" s="46"/>
      <c r="E53" s="46"/>
      <c r="F53" s="46"/>
      <c r="G53" s="45"/>
      <c r="H53" s="45"/>
      <c r="I53" s="45"/>
      <c r="J53" s="45"/>
      <c r="K53" s="45"/>
    </row>
    <row r="54" spans="1:17" ht="18" customHeight="1" thickBot="1" x14ac:dyDescent="0.3">
      <c r="A54" s="45"/>
      <c r="B54" s="1726" t="str">
        <f>IF('Project information'!$C$7="Certification stage","• Where is the dedicated recycling storage area provided?","• Where is the dedicated recycling storage area provided?")</f>
        <v>• Where is the dedicated recycling storage area provided?</v>
      </c>
      <c r="C54" s="1726"/>
      <c r="D54" s="1726"/>
      <c r="E54" s="1726"/>
      <c r="F54" s="1726"/>
      <c r="G54" s="1726"/>
      <c r="H54" s="1204" t="s">
        <v>53</v>
      </c>
      <c r="I54" s="411"/>
      <c r="J54" s="411"/>
      <c r="K54" s="411"/>
      <c r="O54" s="349" t="s">
        <v>455</v>
      </c>
      <c r="P54" s="350" t="s">
        <v>456</v>
      </c>
    </row>
    <row r="55" spans="1:17" ht="19.5" customHeight="1" thickBot="1" x14ac:dyDescent="0.3">
      <c r="A55" s="45"/>
      <c r="B55" s="1726" t="str">
        <f>IF('Project information'!$C$7="Certification stage","• If the storage area is provided in the base building, is it accessible to all tenants?","• If the storage area is provided in the base building, will it be accessible to all tenants?")</f>
        <v>• If the storage area is provided in the base building, is it accessible to all tenants?</v>
      </c>
      <c r="C55" s="1726"/>
      <c r="D55" s="1726"/>
      <c r="E55" s="1726"/>
      <c r="F55" s="1726"/>
      <c r="G55" s="1726"/>
      <c r="H55" s="1204" t="s">
        <v>53</v>
      </c>
      <c r="I55" s="45"/>
      <c r="J55" s="45"/>
      <c r="K55" s="45"/>
      <c r="L55" s="53" t="b">
        <v>0</v>
      </c>
      <c r="M55" s="53" t="b">
        <v>0</v>
      </c>
      <c r="O55" s="344">
        <v>500</v>
      </c>
      <c r="P55" s="345">
        <v>1.4999999999999999E-2</v>
      </c>
      <c r="Q55" s="35">
        <v>7.5</v>
      </c>
    </row>
    <row r="56" spans="1:17" ht="15" customHeight="1" thickBot="1" x14ac:dyDescent="0.3">
      <c r="A56" s="45"/>
      <c r="B56" s="45"/>
      <c r="C56" s="45"/>
      <c r="D56" s="45"/>
      <c r="E56" s="45"/>
      <c r="F56" s="45"/>
      <c r="G56" s="45"/>
      <c r="H56" s="45"/>
      <c r="I56" s="45"/>
      <c r="J56" s="45"/>
      <c r="K56" s="45"/>
      <c r="O56" s="346">
        <v>1000</v>
      </c>
      <c r="P56" s="345">
        <v>8.0000000000000002E-3</v>
      </c>
      <c r="Q56" s="35">
        <v>8</v>
      </c>
    </row>
    <row r="57" spans="1:17" ht="27" customHeight="1" thickBot="1" x14ac:dyDescent="0.3">
      <c r="A57" s="45"/>
      <c r="B57" s="1726" t="str">
        <f>IF('Project information'!$C$7="Certification stage","• Is the dedicated recycling storage area located in the basement or at the ground level for convenient access by occupants and collection vehicles?","• Will the dedicated recycling storage area be located in the basement or at the ground level for convenient access by occupants and collection vehicles?")</f>
        <v>• Is the dedicated recycling storage area located in the basement or at the ground level for convenient access by occupants and collection vehicles?</v>
      </c>
      <c r="C57" s="1726"/>
      <c r="D57" s="1726"/>
      <c r="E57" s="1726"/>
      <c r="F57" s="1726"/>
      <c r="G57" s="1726"/>
      <c r="H57" s="1204" t="s">
        <v>53</v>
      </c>
      <c r="I57" s="45"/>
      <c r="J57" s="45"/>
      <c r="K57" s="45"/>
      <c r="L57" s="53" t="b">
        <v>0</v>
      </c>
      <c r="M57" s="53" t="b">
        <v>0</v>
      </c>
      <c r="O57" s="344">
        <v>500</v>
      </c>
      <c r="P57" s="345">
        <v>1.4999999999999999E-2</v>
      </c>
      <c r="Q57" s="35">
        <v>7.5</v>
      </c>
    </row>
    <row r="58" spans="1:17" ht="19.5" customHeight="1" thickBot="1" x14ac:dyDescent="0.3">
      <c r="A58" s="45"/>
      <c r="B58" s="1726" t="str">
        <f>IF('Project information'!$C$7="Certification stage","• Is the dedicated recycling storage area indicated with signs?","• Will the dedicated recycling storage area be indicated with signs?")</f>
        <v>• Is the dedicated recycling storage area indicated with signs?</v>
      </c>
      <c r="C58" s="1726"/>
      <c r="D58" s="1726"/>
      <c r="E58" s="1726"/>
      <c r="F58" s="1726"/>
      <c r="G58" s="1726"/>
      <c r="H58" s="1204" t="s">
        <v>53</v>
      </c>
      <c r="I58" s="45"/>
      <c r="J58" s="45"/>
      <c r="K58" s="45"/>
      <c r="L58" s="53" t="b">
        <v>0</v>
      </c>
      <c r="M58" s="53" t="b">
        <v>0</v>
      </c>
      <c r="O58" s="344">
        <v>500</v>
      </c>
      <c r="P58" s="345">
        <v>1.4999999999999999E-2</v>
      </c>
      <c r="Q58" s="35">
        <v>7.5</v>
      </c>
    </row>
    <row r="59" spans="1:17" ht="15" customHeight="1" thickBot="1" x14ac:dyDescent="0.3">
      <c r="A59" s="45"/>
      <c r="B59" s="45"/>
      <c r="C59" s="45"/>
      <c r="D59" s="45"/>
      <c r="E59" s="45"/>
      <c r="F59" s="45"/>
      <c r="G59" s="45"/>
      <c r="H59" s="45"/>
      <c r="I59" s="45"/>
      <c r="J59" s="45"/>
      <c r="K59" s="45"/>
      <c r="O59" s="346">
        <v>1000</v>
      </c>
      <c r="P59" s="345">
        <v>8.0000000000000002E-3</v>
      </c>
      <c r="Q59" s="35">
        <v>8</v>
      </c>
    </row>
    <row r="60" spans="1:17" ht="19.5" customHeight="1" thickBot="1" x14ac:dyDescent="0.3">
      <c r="A60" s="45"/>
      <c r="B60" s="1726" t="str">
        <f>IF('Project information'!$C$7="Certification stage","• Does the dedicated recycling storage area allocate a separated and clearly marked storage space for paper?","• Will the dedicated recycling storage area allocate a separated and clearly marked storage space for paper?")</f>
        <v>• Does the dedicated recycling storage area allocate a separated and clearly marked storage space for paper?</v>
      </c>
      <c r="C60" s="1726"/>
      <c r="D60" s="1726"/>
      <c r="E60" s="1726"/>
      <c r="F60" s="1726"/>
      <c r="G60" s="1726"/>
      <c r="H60" s="1204" t="s">
        <v>53</v>
      </c>
      <c r="I60" s="45"/>
      <c r="J60" s="45"/>
      <c r="K60" s="45"/>
      <c r="L60" s="67" t="b">
        <v>0</v>
      </c>
      <c r="M60" s="67" t="b">
        <v>0</v>
      </c>
      <c r="O60" s="346">
        <v>5000</v>
      </c>
      <c r="P60" s="345">
        <v>3.5000000000000001E-3</v>
      </c>
      <c r="Q60" s="35">
        <f>50*0.35</f>
        <v>17.5</v>
      </c>
    </row>
    <row r="61" spans="1:17" ht="19.5" customHeight="1" thickBot="1" x14ac:dyDescent="0.3">
      <c r="A61" s="45"/>
      <c r="B61" s="1726" t="str">
        <f>IF('Project information'!$C$7="Certification stage","• Does the dedicated recycling storage area allocate a separated and clearly marked storage space for corrugated cardboard?","• Will the dedicated recycling storage area allocate a separated and clearly marked storage space for corrugated cardboard?")</f>
        <v>• Does the dedicated recycling storage area allocate a separated and clearly marked storage space for corrugated cardboard?</v>
      </c>
      <c r="C61" s="1726"/>
      <c r="D61" s="1726"/>
      <c r="E61" s="1726"/>
      <c r="F61" s="1726"/>
      <c r="G61" s="1726"/>
      <c r="H61" s="1204" t="s">
        <v>53</v>
      </c>
      <c r="I61" s="45"/>
      <c r="J61" s="45"/>
      <c r="K61" s="45"/>
      <c r="L61" s="67" t="b">
        <v>0</v>
      </c>
      <c r="M61" s="67" t="b">
        <v>0</v>
      </c>
      <c r="O61" s="346">
        <v>10000</v>
      </c>
      <c r="P61" s="345">
        <v>2.5000000000000001E-3</v>
      </c>
      <c r="Q61" s="35">
        <f>100*0.25</f>
        <v>25</v>
      </c>
    </row>
    <row r="62" spans="1:17" ht="19.5" customHeight="1" x14ac:dyDescent="0.25">
      <c r="A62" s="45"/>
      <c r="B62" s="1726" t="str">
        <f>IF('Project information'!$C$7="Certification stage","• Does the dedicated recycling storage area allocate a separated and clearly marked storage space for plastics?","• Will the dedicated recycling storage area allocate a separated and clearly marked storage space for plastics?")</f>
        <v>• Does the dedicated recycling storage area allocate a separated and clearly marked storage space for plastics?</v>
      </c>
      <c r="C62" s="1726"/>
      <c r="D62" s="1726"/>
      <c r="E62" s="1726"/>
      <c r="F62" s="1726"/>
      <c r="G62" s="1726"/>
      <c r="H62" s="1204" t="s">
        <v>53</v>
      </c>
      <c r="I62" s="45"/>
      <c r="J62" s="45"/>
      <c r="K62" s="45"/>
      <c r="L62" s="67" t="b">
        <v>0</v>
      </c>
      <c r="M62" s="67" t="b">
        <v>0</v>
      </c>
      <c r="O62" s="347">
        <v>20000</v>
      </c>
      <c r="P62" s="348">
        <v>1.5E-3</v>
      </c>
      <c r="Q62" s="35">
        <f>200*0.15</f>
        <v>30</v>
      </c>
    </row>
    <row r="63" spans="1:17" ht="19.5" customHeight="1" x14ac:dyDescent="0.25">
      <c r="A63" s="45"/>
      <c r="B63" s="1726" t="str">
        <f>IF('Project information'!$C$7="Certification stage","• Does the dedicated recycling storage area allocate a separated and clearly marked storage space for metals?","• Will the dedicated recycling storage area allocate a separated and clearly marked storage space for metals?")</f>
        <v>• Does the dedicated recycling storage area allocate a separated and clearly marked storage space for metals?</v>
      </c>
      <c r="C63" s="1726"/>
      <c r="D63" s="1726"/>
      <c r="E63" s="1726"/>
      <c r="F63" s="1726"/>
      <c r="G63" s="1726"/>
      <c r="H63" s="1204" t="s">
        <v>53</v>
      </c>
      <c r="I63" s="45"/>
      <c r="J63" s="45"/>
      <c r="K63" s="45"/>
      <c r="L63" s="67" t="b">
        <v>0</v>
      </c>
      <c r="M63" s="67" t="b">
        <v>0</v>
      </c>
    </row>
    <row r="64" spans="1:17" ht="19.5" customHeight="1" x14ac:dyDescent="0.25">
      <c r="A64" s="45"/>
      <c r="B64" s="1726" t="str">
        <f>IF('Project information'!$C$7="Certification stage","• Does the dedicated recycling storage area allocate a separated and clearly marked storage space for glass?","• Will the dedicated recycling storage area allocate a separated and clearly marked storage space for glass?")</f>
        <v>• Does the dedicated recycling storage area allocate a separated and clearly marked storage space for glass?</v>
      </c>
      <c r="C64" s="1726"/>
      <c r="D64" s="1726"/>
      <c r="E64" s="1726"/>
      <c r="F64" s="1726"/>
      <c r="G64" s="1726"/>
      <c r="H64" s="1204" t="s">
        <v>53</v>
      </c>
      <c r="I64" s="45"/>
      <c r="J64" s="45"/>
      <c r="K64" s="45"/>
      <c r="L64" s="67" t="b">
        <v>0</v>
      </c>
      <c r="M64" s="67" t="b">
        <v>0</v>
      </c>
    </row>
    <row r="65" spans="1:14" ht="15" customHeight="1" x14ac:dyDescent="0.25">
      <c r="A65" s="45"/>
      <c r="B65" s="46"/>
      <c r="C65" s="46"/>
      <c r="D65" s="46"/>
      <c r="E65" s="46"/>
      <c r="F65" s="45"/>
      <c r="G65" s="45"/>
      <c r="H65" s="45"/>
      <c r="I65" s="45"/>
      <c r="J65" s="45"/>
      <c r="K65" s="65"/>
    </row>
    <row r="66" spans="1:14" ht="18" customHeight="1" x14ac:dyDescent="0.25">
      <c r="A66" s="45"/>
      <c r="B66" s="1726" t="str">
        <f>IF('Project information'!$C$7="Certification stage","• Have storage spaces been sufficiently sized based on waste generation and frequency of recycling pick-up?","• Will storage spaces be sufficiently sized based on waste generation and frequency of recycling pick-up?")</f>
        <v>• Have storage spaces been sufficiently sized based on waste generation and frequency of recycling pick-up?</v>
      </c>
      <c r="C66" s="1726"/>
      <c r="D66" s="1726"/>
      <c r="E66" s="1726"/>
      <c r="F66" s="1726"/>
      <c r="G66" s="1726"/>
      <c r="H66" s="1204" t="s">
        <v>53</v>
      </c>
      <c r="I66" s="45"/>
      <c r="J66" s="45"/>
      <c r="K66" s="45"/>
    </row>
    <row r="67" spans="1:14" ht="17.25" customHeight="1" x14ac:dyDescent="0.25">
      <c r="A67" s="45"/>
      <c r="B67" s="2082" t="s">
        <v>2212</v>
      </c>
      <c r="C67" s="2083"/>
      <c r="D67" s="2083"/>
      <c r="E67" s="2083"/>
      <c r="F67" s="2083"/>
      <c r="G67" s="2083"/>
      <c r="H67" s="2083"/>
      <c r="I67" s="45"/>
      <c r="J67" s="45"/>
      <c r="K67" s="45"/>
    </row>
    <row r="68" spans="1:14" ht="17.25" customHeight="1" x14ac:dyDescent="0.25">
      <c r="A68" s="45"/>
      <c r="B68" s="2091"/>
      <c r="C68" s="2091"/>
      <c r="D68" s="2091"/>
      <c r="E68" s="2091"/>
      <c r="F68" s="2091"/>
      <c r="G68" s="2091"/>
      <c r="H68" s="2091"/>
      <c r="I68" s="45"/>
      <c r="J68" s="45"/>
      <c r="K68" s="65"/>
    </row>
    <row r="69" spans="1:14" ht="17.25" customHeight="1" x14ac:dyDescent="0.25">
      <c r="A69" s="45"/>
      <c r="B69" s="2091"/>
      <c r="C69" s="2091"/>
      <c r="D69" s="2091"/>
      <c r="E69" s="2091"/>
      <c r="F69" s="2091"/>
      <c r="G69" s="2091"/>
      <c r="H69" s="2091"/>
      <c r="I69" s="45"/>
      <c r="J69" s="45"/>
      <c r="K69" s="65"/>
    </row>
    <row r="70" spans="1:14" ht="17.25" customHeight="1" x14ac:dyDescent="0.25">
      <c r="A70" s="45"/>
      <c r="B70" s="2091"/>
      <c r="C70" s="2091"/>
      <c r="D70" s="2091"/>
      <c r="E70" s="2091"/>
      <c r="F70" s="2091"/>
      <c r="G70" s="2091"/>
      <c r="H70" s="2091"/>
      <c r="I70" s="45"/>
      <c r="J70" s="45"/>
      <c r="K70" s="65"/>
    </row>
    <row r="71" spans="1:14" ht="17.25" customHeight="1" x14ac:dyDescent="0.25">
      <c r="A71" s="45"/>
      <c r="B71" s="2091"/>
      <c r="C71" s="2091"/>
      <c r="D71" s="2091"/>
      <c r="E71" s="2091"/>
      <c r="F71" s="2091"/>
      <c r="G71" s="2091"/>
      <c r="H71" s="2091"/>
      <c r="I71" s="45"/>
      <c r="J71" s="45"/>
      <c r="K71" s="65"/>
    </row>
    <row r="72" spans="1:14" ht="18" customHeight="1" x14ac:dyDescent="0.25">
      <c r="A72" s="45"/>
      <c r="B72" s="46"/>
      <c r="C72" s="46"/>
      <c r="D72" s="46"/>
      <c r="E72" s="46"/>
      <c r="F72" s="45"/>
      <c r="G72" s="45"/>
      <c r="H72" s="45"/>
      <c r="I72" s="45"/>
      <c r="J72" s="45"/>
      <c r="K72" s="65"/>
    </row>
    <row r="73" spans="1:14" customFormat="1" ht="18" customHeight="1" x14ac:dyDescent="0.25">
      <c r="A73" s="45"/>
      <c r="B73" s="2079" t="s">
        <v>2213</v>
      </c>
      <c r="C73" s="2080"/>
      <c r="D73" s="2081"/>
      <c r="E73" s="144" t="str">
        <f>IF(AND(H54="base building",H55&lt;&gt;"Yes"),"No",IF(AND(H57="Yes",H58="Yes",H60="Yes",H61="Yes",H62="Yes",H63="Yes",H64="Yes",H66="Yes",B68&lt;&gt;""),"Yes","No"))</f>
        <v>No</v>
      </c>
      <c r="F73" s="45"/>
      <c r="G73" s="45"/>
      <c r="H73" s="45"/>
      <c r="I73" s="45"/>
      <c r="J73" s="45"/>
      <c r="K73" s="65"/>
      <c r="L73" s="35"/>
      <c r="M73" s="35"/>
      <c r="N73" s="35"/>
    </row>
    <row r="74" spans="1:14" ht="19.5" customHeight="1" x14ac:dyDescent="0.25">
      <c r="A74" s="45"/>
      <c r="B74" s="46"/>
      <c r="C74" s="46"/>
      <c r="D74" s="46"/>
      <c r="E74" s="46"/>
      <c r="F74" s="45"/>
      <c r="G74" s="45"/>
      <c r="H74" s="45"/>
      <c r="I74" s="45"/>
      <c r="J74" s="45"/>
      <c r="K74" s="65"/>
    </row>
    <row r="75" spans="1:14" ht="18" customHeight="1" x14ac:dyDescent="0.25">
      <c r="A75" s="2052" t="s">
        <v>84</v>
      </c>
      <c r="B75" s="2052"/>
      <c r="C75" s="2052"/>
      <c r="D75" s="46"/>
      <c r="E75" s="46"/>
      <c r="F75" s="46"/>
      <c r="G75" s="46"/>
      <c r="H75" s="46"/>
      <c r="I75" s="46"/>
      <c r="J75" s="46"/>
      <c r="K75" s="46"/>
      <c r="L75"/>
      <c r="M75"/>
      <c r="N75"/>
    </row>
    <row r="76" spans="1:14" ht="15" x14ac:dyDescent="0.25">
      <c r="A76" s="45"/>
      <c r="B76" s="46"/>
      <c r="C76" s="46"/>
      <c r="D76" s="46"/>
      <c r="E76" s="46"/>
      <c r="F76" s="45"/>
      <c r="G76" s="45"/>
      <c r="H76" s="45"/>
      <c r="I76" s="45"/>
      <c r="J76" s="45"/>
      <c r="K76" s="65"/>
    </row>
    <row r="77" spans="1:14" ht="21" customHeight="1" x14ac:dyDescent="0.25">
      <c r="A77" s="45"/>
      <c r="B77" s="2036" t="s">
        <v>85</v>
      </c>
      <c r="C77" s="2037"/>
      <c r="D77" s="2037"/>
      <c r="E77" s="2037"/>
      <c r="F77" s="2037"/>
      <c r="G77" s="1224" t="s">
        <v>907</v>
      </c>
      <c r="H77" s="2028" t="s">
        <v>908</v>
      </c>
      <c r="I77" s="2029"/>
      <c r="J77" s="45"/>
      <c r="K77" s="45"/>
      <c r="L77"/>
      <c r="M77"/>
    </row>
    <row r="78" spans="1:14" ht="30" customHeight="1" x14ac:dyDescent="0.25">
      <c r="A78" s="45"/>
      <c r="B78" s="1648" t="str">
        <f>Submittals!G69</f>
        <v>• Photographs showing the dedicated recycling storage area, the storage spaces and the signs indicating the storage area and the storage spaces.</v>
      </c>
      <c r="C78" s="1649"/>
      <c r="D78" s="1649"/>
      <c r="E78" s="1649"/>
      <c r="F78" s="1650"/>
      <c r="G78" s="717" t="s">
        <v>53</v>
      </c>
      <c r="H78" s="1689"/>
      <c r="I78" s="1690"/>
      <c r="J78" s="45"/>
      <c r="K78" s="45"/>
      <c r="L78" s="35" t="str">
        <f>IF(OR(B78="/",B78="No evidence required at this submission stage"),"Yes",IF(G78="Submitted","Yes","No"))</f>
        <v>No</v>
      </c>
      <c r="M78"/>
    </row>
    <row r="79" spans="1:14" ht="27" hidden="1" customHeight="1" x14ac:dyDescent="0.25">
      <c r="A79" s="45"/>
      <c r="B79" s="1648" t="str">
        <f>Submittals!G70</f>
        <v>/</v>
      </c>
      <c r="C79" s="1649"/>
      <c r="D79" s="1649"/>
      <c r="E79" s="1649"/>
      <c r="F79" s="1650"/>
      <c r="G79" s="717" t="s">
        <v>53</v>
      </c>
      <c r="H79" s="1741"/>
      <c r="I79" s="1742"/>
      <c r="J79" s="45"/>
      <c r="K79" s="45"/>
      <c r="L79" s="35" t="str">
        <f>IF(OR(B79="/",B79="No evidence required at this submission stage"),"Yes",IF(G79="Submitted","Yes","No"))</f>
        <v>Yes</v>
      </c>
      <c r="M79"/>
    </row>
    <row r="80" spans="1:14" ht="19.5" customHeight="1" x14ac:dyDescent="0.25">
      <c r="A80" s="45"/>
      <c r="B80" s="46"/>
      <c r="C80" s="46"/>
      <c r="D80" s="46"/>
      <c r="E80" s="46"/>
      <c r="F80" s="45"/>
      <c r="G80" s="45"/>
      <c r="H80" s="45"/>
      <c r="I80" s="45"/>
      <c r="J80" s="45"/>
      <c r="K80" s="65"/>
    </row>
    <row r="81" spans="1:11" ht="18" customHeight="1" x14ac:dyDescent="0.25">
      <c r="A81" s="2052" t="s">
        <v>5</v>
      </c>
      <c r="B81" s="2052"/>
      <c r="C81" s="2052"/>
      <c r="D81" s="46"/>
      <c r="E81" s="46"/>
      <c r="F81" s="46"/>
      <c r="G81" s="46"/>
      <c r="H81" s="46"/>
      <c r="I81" s="46"/>
      <c r="J81" s="46"/>
      <c r="K81" s="46"/>
    </row>
    <row r="82" spans="1:11" ht="16.5" customHeight="1" x14ac:dyDescent="0.25">
      <c r="A82" s="45"/>
      <c r="B82" s="46"/>
      <c r="C82" s="46"/>
      <c r="D82" s="46"/>
      <c r="E82" s="46"/>
      <c r="F82" s="45"/>
      <c r="G82" s="45"/>
      <c r="H82" s="45"/>
      <c r="I82" s="45"/>
      <c r="J82" s="45"/>
      <c r="K82" s="45"/>
    </row>
    <row r="83" spans="1:11" ht="18" customHeight="1" x14ac:dyDescent="0.25">
      <c r="A83" s="45"/>
      <c r="B83" s="1253" t="s">
        <v>16</v>
      </c>
      <c r="C83" s="8">
        <f>IF(E73="Yes",1,0)</f>
        <v>0</v>
      </c>
      <c r="D83" s="45"/>
      <c r="E83" s="45"/>
      <c r="F83" s="45"/>
      <c r="G83" s="45"/>
      <c r="H83" s="45"/>
      <c r="I83" s="45"/>
      <c r="J83" s="45"/>
      <c r="K83" s="45"/>
    </row>
    <row r="84" spans="1:11" ht="18" customHeight="1" x14ac:dyDescent="0.25">
      <c r="A84" s="45"/>
      <c r="B84" s="1253" t="s">
        <v>133</v>
      </c>
      <c r="C84" s="108" t="str">
        <f>IF(AND(COUNTIF(L78:L78,"Yes")=1,C83&gt;0),"Yes","No")</f>
        <v>No</v>
      </c>
      <c r="D84" s="45"/>
      <c r="E84" s="45"/>
      <c r="F84" s="45"/>
      <c r="G84" s="45"/>
      <c r="H84" s="45"/>
      <c r="I84" s="45"/>
      <c r="J84" s="45"/>
      <c r="K84" s="45"/>
    </row>
    <row r="85" spans="1:11" ht="18.75" customHeight="1" x14ac:dyDescent="0.25">
      <c r="A85" s="45"/>
      <c r="B85" s="46"/>
      <c r="C85" s="46"/>
      <c r="D85" s="46"/>
      <c r="E85" s="46"/>
      <c r="F85" s="45"/>
      <c r="G85" s="45"/>
      <c r="H85" s="45"/>
      <c r="I85" s="45"/>
      <c r="J85" s="45"/>
      <c r="K85" s="45"/>
    </row>
    <row r="86" spans="1:11" ht="15" hidden="1" customHeight="1" x14ac:dyDescent="0.25">
      <c r="A86" s="45"/>
      <c r="B86" s="46"/>
      <c r="C86" s="46"/>
      <c r="D86" s="46"/>
      <c r="E86" s="46"/>
      <c r="F86" s="45"/>
      <c r="G86" s="45"/>
      <c r="H86" s="45"/>
      <c r="I86" s="45"/>
      <c r="J86" s="45"/>
      <c r="K86" s="45"/>
    </row>
    <row r="87" spans="1:11" ht="0" hidden="1" customHeight="1" x14ac:dyDescent="0.25"/>
  </sheetData>
  <sheetProtection algorithmName="SHA-512" hashValue="Apn5bocrJ7QZHLpcgn2hy5I3G5d4+5pamebaTV20DiFZu/b6+eRC6ofDAQxQJFPG0fvTnWKS6BH1ENi50aYpuA==" saltValue="BzgWPZnUt2xCXjDQNi2xuA==" spinCount="100000" sheet="1" objects="1" scenarios="1" formatRows="0"/>
  <mergeCells count="53">
    <mergeCell ref="A81:C81"/>
    <mergeCell ref="A16:K16"/>
    <mergeCell ref="A9:K9"/>
    <mergeCell ref="A44:K44"/>
    <mergeCell ref="A46:C46"/>
    <mergeCell ref="A39:C39"/>
    <mergeCell ref="A18:C18"/>
    <mergeCell ref="A33:C33"/>
    <mergeCell ref="H77:I77"/>
    <mergeCell ref="H78:I78"/>
    <mergeCell ref="H79:I79"/>
    <mergeCell ref="H35:I35"/>
    <mergeCell ref="H36:I36"/>
    <mergeCell ref="H37:I37"/>
    <mergeCell ref="B37:F37"/>
    <mergeCell ref="E26:I26"/>
    <mergeCell ref="B79:F79"/>
    <mergeCell ref="E29:I29"/>
    <mergeCell ref="B31:C31"/>
    <mergeCell ref="B36:F36"/>
    <mergeCell ref="B27:D27"/>
    <mergeCell ref="B28:D28"/>
    <mergeCell ref="B29:D29"/>
    <mergeCell ref="A75:C75"/>
    <mergeCell ref="B78:F78"/>
    <mergeCell ref="B54:G54"/>
    <mergeCell ref="B55:G55"/>
    <mergeCell ref="B57:G57"/>
    <mergeCell ref="B58:G58"/>
    <mergeCell ref="B60:G60"/>
    <mergeCell ref="B61:G61"/>
    <mergeCell ref="B62:G62"/>
    <mergeCell ref="A1:K1"/>
    <mergeCell ref="B35:F35"/>
    <mergeCell ref="B77:F77"/>
    <mergeCell ref="B14:E14"/>
    <mergeCell ref="G2:J4"/>
    <mergeCell ref="A5:K7"/>
    <mergeCell ref="B11:E11"/>
    <mergeCell ref="B12:E12"/>
    <mergeCell ref="B13:E13"/>
    <mergeCell ref="B23:G23"/>
    <mergeCell ref="B25:D25"/>
    <mergeCell ref="E25:I25"/>
    <mergeCell ref="E27:I27"/>
    <mergeCell ref="E28:I28"/>
    <mergeCell ref="B26:D26"/>
    <mergeCell ref="B68:H71"/>
    <mergeCell ref="B73:D73"/>
    <mergeCell ref="B63:G63"/>
    <mergeCell ref="B64:G64"/>
    <mergeCell ref="B66:G66"/>
    <mergeCell ref="B67:H67"/>
  </mergeCells>
  <conditionalFormatting sqref="G78:I79">
    <cfRule type="expression" dxfId="230" priority="3">
      <formula>$B78="/"</formula>
    </cfRule>
    <cfRule type="expression" dxfId="229" priority="4">
      <formula>$B78="No evidence required at this submission stage"</formula>
    </cfRule>
  </conditionalFormatting>
  <conditionalFormatting sqref="G36:I37">
    <cfRule type="expression" dxfId="228" priority="1">
      <formula>$B36="/"</formula>
    </cfRule>
    <cfRule type="expression" dxfId="227" priority="2">
      <formula>$B36="No evidence required at this submission stage"</formula>
    </cfRule>
  </conditionalFormatting>
  <dataValidations disablePrompts="1" count="5">
    <dataValidation type="whole" allowBlank="1" showInputMessage="1" showErrorMessage="1" sqref="G12:G13" xr:uid="{00000000-0002-0000-1E00-000000000000}">
      <formula1>0</formula1>
      <formula2>F12</formula2>
    </dataValidation>
    <dataValidation type="list" allowBlank="1" showInputMessage="1" showErrorMessage="1" sqref="H54" xr:uid="{00000000-0002-0000-1E00-000001000000}">
      <formula1>"Select,Interior project space, Base building"</formula1>
    </dataValidation>
    <dataValidation type="list" allowBlank="1" showInputMessage="1" showErrorMessage="1" sqref="H60:H64 H57:H58 H66" xr:uid="{00000000-0002-0000-1E00-000002000000}">
      <formula1>"Select,Yes,No"</formula1>
    </dataValidation>
    <dataValidation type="list" allowBlank="1" showInputMessage="1" showErrorMessage="1" sqref="G78:G79 G36:G37" xr:uid="{00000000-0002-0000-1E00-000003000000}">
      <formula1>"Select,Submitted,Not submitted"</formula1>
    </dataValidation>
    <dataValidation type="list" allowBlank="1" showInputMessage="1" showErrorMessage="1" sqref="H55" xr:uid="{5DD8017D-BF16-4264-B8C4-DC9477C69D3A}">
      <formula1>"Select,Yes,No,N/A"</formula1>
    </dataValidation>
  </dataValidations>
  <hyperlinks>
    <hyperlink ref="K3" location="'MR-2 Sustainable Furniture'!B3" tooltip="MR-2" display="MR-2" xr:uid="{00000000-0004-0000-1E00-000000000000}"/>
    <hyperlink ref="K2" location="'MR-1 Sustainable Materials'!B3" tooltip="MR-1" display="MR-1" xr:uid="{00000000-0004-0000-1E00-000001000000}"/>
    <hyperlink ref="K4" location="'MR-3 Fit-out Waste'!B3" tooltip="MR-3" display="MR-3" xr:uid="{F96A8CD3-AE0D-4584-9B20-4B3B2C255AC4}"/>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P161"/>
  <sheetViews>
    <sheetView showRowColHeaders="0" zoomScaleNormal="100" workbookViewId="0">
      <pane ySplit="1" topLeftCell="A2" activePane="bottomLeft" state="frozen"/>
      <selection pane="bottomLeft" activeCell="A24" sqref="A24:XFD1048576"/>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372" t="s">
        <v>818</v>
      </c>
      <c r="B1" s="1372"/>
      <c r="C1" s="1372"/>
      <c r="D1" s="1372"/>
      <c r="E1" s="1372"/>
      <c r="F1" s="1372"/>
      <c r="G1" s="1372"/>
      <c r="H1" s="1372"/>
      <c r="I1" s="1372"/>
      <c r="J1" s="1372"/>
      <c r="K1" s="1372"/>
      <c r="L1" s="1372"/>
      <c r="M1" s="1372"/>
      <c r="N1" s="1372"/>
      <c r="O1" s="1372"/>
      <c r="P1" s="40"/>
    </row>
    <row r="2" spans="1:16" ht="15" customHeight="1" x14ac:dyDescent="0.25">
      <c r="A2" s="14"/>
      <c r="B2" s="14"/>
      <c r="C2" s="14"/>
      <c r="D2" s="14"/>
      <c r="E2" s="14"/>
      <c r="F2" s="14"/>
      <c r="G2" s="14"/>
      <c r="H2" s="14"/>
      <c r="I2" s="14"/>
      <c r="J2" s="14"/>
      <c r="K2" s="14"/>
      <c r="L2" s="10"/>
      <c r="M2" s="10"/>
      <c r="N2" s="10"/>
      <c r="O2" s="10"/>
      <c r="P2" s="9"/>
    </row>
    <row r="3" spans="1:16" ht="18" customHeight="1" x14ac:dyDescent="0.25">
      <c r="A3" s="1373" t="s">
        <v>819</v>
      </c>
      <c r="B3" s="1373"/>
      <c r="C3" s="1373"/>
      <c r="D3" s="1373"/>
      <c r="E3" s="14"/>
      <c r="F3" s="14"/>
      <c r="G3" s="14"/>
      <c r="H3" s="14"/>
      <c r="I3" s="14"/>
      <c r="J3" s="14"/>
      <c r="K3" s="14"/>
      <c r="L3" s="10"/>
      <c r="M3" s="10"/>
      <c r="N3" s="10"/>
      <c r="O3" s="10"/>
      <c r="P3" s="9"/>
    </row>
    <row r="4" spans="1:16" ht="15" customHeight="1" x14ac:dyDescent="0.25">
      <c r="A4" s="14"/>
      <c r="B4" s="14"/>
      <c r="C4" s="14"/>
      <c r="D4" s="14"/>
      <c r="E4" s="14"/>
      <c r="F4" s="14"/>
      <c r="G4" s="14"/>
      <c r="H4" s="14"/>
      <c r="I4" s="14"/>
      <c r="J4" s="14"/>
      <c r="K4" s="14"/>
      <c r="L4" s="10"/>
      <c r="M4" s="10"/>
      <c r="N4" s="10"/>
      <c r="O4" s="10"/>
      <c r="P4" s="9"/>
    </row>
    <row r="5" spans="1:16" ht="59.25" customHeight="1" x14ac:dyDescent="0.25">
      <c r="A5" s="14"/>
      <c r="B5" s="1371" t="s">
        <v>820</v>
      </c>
      <c r="C5" s="1371"/>
      <c r="D5" s="1371"/>
      <c r="E5" s="1371"/>
      <c r="F5" s="1371"/>
      <c r="G5" s="1371"/>
      <c r="H5" s="1371"/>
      <c r="I5" s="1371"/>
      <c r="J5" s="1371"/>
      <c r="K5" s="1371"/>
      <c r="L5" s="1371"/>
      <c r="M5" s="1371"/>
      <c r="N5" s="1371"/>
      <c r="O5" s="10"/>
      <c r="P5" s="9"/>
    </row>
    <row r="6" spans="1:16" ht="31.5" customHeight="1" x14ac:dyDescent="0.25">
      <c r="A6" s="14"/>
      <c r="B6" s="1371" t="s">
        <v>821</v>
      </c>
      <c r="C6" s="1371"/>
      <c r="D6" s="1371"/>
      <c r="E6" s="1371"/>
      <c r="F6" s="1371"/>
      <c r="G6" s="1371"/>
      <c r="H6" s="1371"/>
      <c r="I6" s="1371"/>
      <c r="J6" s="1371"/>
      <c r="K6" s="1371"/>
      <c r="L6" s="1371"/>
      <c r="M6" s="1371"/>
      <c r="N6" s="1371"/>
      <c r="O6" s="10"/>
      <c r="P6" s="9"/>
    </row>
    <row r="7" spans="1:16" ht="31.5" customHeight="1" x14ac:dyDescent="0.25">
      <c r="A7" s="14"/>
      <c r="B7" s="1371" t="s">
        <v>822</v>
      </c>
      <c r="C7" s="1371"/>
      <c r="D7" s="1371"/>
      <c r="E7" s="1371"/>
      <c r="F7" s="1371"/>
      <c r="G7" s="1371"/>
      <c r="H7" s="1371"/>
      <c r="I7" s="1371"/>
      <c r="J7" s="1371"/>
      <c r="K7" s="1371"/>
      <c r="L7" s="1371"/>
      <c r="M7" s="1371"/>
      <c r="N7" s="1371"/>
      <c r="O7" s="10"/>
      <c r="P7" s="9"/>
    </row>
    <row r="8" spans="1:16" ht="31.5" customHeight="1" x14ac:dyDescent="0.25">
      <c r="A8" s="14"/>
      <c r="B8" s="1371" t="s">
        <v>823</v>
      </c>
      <c r="C8" s="1371"/>
      <c r="D8" s="1371"/>
      <c r="E8" s="1371"/>
      <c r="F8" s="1371"/>
      <c r="G8" s="1371"/>
      <c r="H8" s="1371"/>
      <c r="I8" s="1371"/>
      <c r="J8" s="1371"/>
      <c r="K8" s="1371"/>
      <c r="L8" s="1371"/>
      <c r="M8" s="1371"/>
      <c r="N8" s="1371"/>
      <c r="O8" s="10"/>
      <c r="P8" s="9"/>
    </row>
    <row r="9" spans="1:16" ht="18" customHeight="1" x14ac:dyDescent="0.25">
      <c r="A9" s="14"/>
      <c r="B9" s="1371" t="s">
        <v>824</v>
      </c>
      <c r="C9" s="1371"/>
      <c r="D9" s="1371"/>
      <c r="E9" s="1371"/>
      <c r="F9" s="1371"/>
      <c r="G9" s="1371"/>
      <c r="H9" s="1371"/>
      <c r="I9" s="1371"/>
      <c r="J9" s="1371"/>
      <c r="K9" s="1371"/>
      <c r="L9" s="1371"/>
      <c r="M9" s="1371"/>
      <c r="N9" s="1371"/>
      <c r="O9" s="10"/>
      <c r="P9" s="9"/>
    </row>
    <row r="10" spans="1:16" ht="15" customHeight="1" x14ac:dyDescent="0.25">
      <c r="A10" s="14"/>
      <c r="B10" s="14"/>
      <c r="C10" s="14"/>
      <c r="D10" s="14"/>
      <c r="E10" s="14"/>
      <c r="F10" s="14"/>
      <c r="G10" s="14"/>
      <c r="H10" s="14"/>
      <c r="I10" s="14"/>
      <c r="J10" s="14"/>
      <c r="K10" s="14"/>
      <c r="L10" s="10"/>
      <c r="M10" s="10"/>
      <c r="N10" s="10"/>
      <c r="O10" s="10"/>
      <c r="P10" s="9"/>
    </row>
    <row r="11" spans="1:16" ht="18" customHeight="1" x14ac:dyDescent="0.25">
      <c r="A11" s="1373" t="s">
        <v>825</v>
      </c>
      <c r="B11" s="1373"/>
      <c r="C11" s="1373"/>
      <c r="D11" s="1373"/>
      <c r="E11" s="14"/>
      <c r="F11" s="14"/>
      <c r="G11" s="14"/>
      <c r="H11" s="14"/>
      <c r="I11" s="14"/>
      <c r="J11" s="14"/>
      <c r="K11" s="14"/>
      <c r="L11" s="10"/>
      <c r="M11" s="10"/>
      <c r="N11" s="10"/>
      <c r="O11" s="10"/>
      <c r="P11" s="9"/>
    </row>
    <row r="12" spans="1:16" x14ac:dyDescent="0.25">
      <c r="A12" s="14"/>
      <c r="B12" s="14"/>
      <c r="C12" s="14"/>
      <c r="D12" s="14"/>
      <c r="E12" s="14"/>
      <c r="F12" s="14"/>
      <c r="G12" s="14"/>
      <c r="H12" s="14"/>
      <c r="I12" s="14"/>
      <c r="J12" s="14"/>
      <c r="K12" s="14"/>
      <c r="L12" s="10"/>
      <c r="M12" s="10"/>
      <c r="N12" s="10"/>
      <c r="O12" s="10"/>
      <c r="P12" s="9"/>
    </row>
    <row r="13" spans="1:16" x14ac:dyDescent="0.25">
      <c r="A13" s="14"/>
      <c r="B13" s="973" t="s">
        <v>826</v>
      </c>
      <c r="C13" s="14"/>
      <c r="D13" s="14"/>
      <c r="E13" s="14"/>
      <c r="F13" s="14"/>
      <c r="G13" s="14"/>
      <c r="H13" s="14"/>
      <c r="I13" s="14"/>
      <c r="J13" s="14"/>
      <c r="K13" s="14"/>
      <c r="L13" s="10"/>
      <c r="M13" s="10"/>
      <c r="N13" s="10"/>
      <c r="O13" s="10"/>
      <c r="P13" s="9"/>
    </row>
    <row r="14" spans="1:16" x14ac:dyDescent="0.25">
      <c r="A14" s="14"/>
      <c r="B14" s="580" t="s">
        <v>838</v>
      </c>
      <c r="C14" s="14"/>
      <c r="D14" s="14"/>
      <c r="E14" s="14"/>
      <c r="F14" s="14"/>
      <c r="G14" s="14"/>
      <c r="H14" s="14"/>
      <c r="I14" s="14"/>
      <c r="J14" s="14"/>
      <c r="K14" s="14"/>
      <c r="L14" s="10"/>
      <c r="M14" s="10"/>
      <c r="N14" s="10"/>
      <c r="O14" s="10"/>
      <c r="P14" s="9"/>
    </row>
    <row r="15" spans="1:16" x14ac:dyDescent="0.25">
      <c r="A15" s="14"/>
      <c r="B15" s="14"/>
      <c r="C15" s="14"/>
      <c r="D15" s="14"/>
      <c r="E15" s="14"/>
      <c r="F15" s="14"/>
      <c r="G15" s="14"/>
      <c r="H15" s="14"/>
      <c r="I15" s="14"/>
      <c r="J15" s="14"/>
      <c r="K15" s="14"/>
      <c r="L15" s="10"/>
      <c r="M15" s="10"/>
      <c r="N15" s="10"/>
      <c r="O15" s="10"/>
      <c r="P15" s="9"/>
    </row>
    <row r="16" spans="1:16" x14ac:dyDescent="0.25">
      <c r="A16" s="14"/>
      <c r="B16" s="973" t="s">
        <v>837</v>
      </c>
      <c r="C16" s="14"/>
      <c r="D16" s="14"/>
      <c r="E16" s="14"/>
      <c r="F16" s="14"/>
      <c r="G16" s="14"/>
      <c r="H16" s="14"/>
      <c r="I16" s="14"/>
      <c r="J16" s="14"/>
      <c r="K16" s="14"/>
      <c r="L16" s="10"/>
      <c r="M16" s="10"/>
      <c r="N16" s="10"/>
      <c r="O16" s="10"/>
      <c r="P16" s="9"/>
    </row>
    <row r="17" spans="1:16" x14ac:dyDescent="0.25">
      <c r="A17" s="14"/>
      <c r="B17" s="580" t="s">
        <v>1199</v>
      </c>
      <c r="C17" s="14"/>
      <c r="D17" s="14"/>
      <c r="E17" s="14"/>
      <c r="F17" s="14"/>
      <c r="G17" s="14"/>
      <c r="H17" s="14"/>
      <c r="I17" s="14"/>
      <c r="J17" s="14"/>
      <c r="K17" s="14"/>
      <c r="L17" s="10"/>
      <c r="M17" s="10"/>
      <c r="N17" s="10"/>
      <c r="O17" s="10"/>
      <c r="P17" s="9"/>
    </row>
    <row r="18" spans="1:16" x14ac:dyDescent="0.25">
      <c r="A18" s="14"/>
      <c r="B18" s="14"/>
      <c r="C18" s="14"/>
      <c r="D18" s="14"/>
      <c r="E18" s="14"/>
      <c r="F18" s="14"/>
      <c r="G18" s="14"/>
      <c r="H18" s="14"/>
      <c r="I18" s="14"/>
      <c r="J18" s="14"/>
      <c r="K18" s="14"/>
      <c r="L18" s="10"/>
      <c r="M18" s="10"/>
      <c r="N18" s="10"/>
      <c r="O18" s="10"/>
      <c r="P18" s="9"/>
    </row>
    <row r="19" spans="1:16" x14ac:dyDescent="0.25">
      <c r="A19" s="14"/>
      <c r="B19" s="973" t="s">
        <v>827</v>
      </c>
      <c r="C19" s="14"/>
      <c r="D19" s="14"/>
      <c r="E19" s="14"/>
      <c r="F19" s="14"/>
      <c r="G19" s="14"/>
      <c r="H19" s="14"/>
      <c r="I19" s="14"/>
      <c r="J19" s="14"/>
      <c r="K19" s="14"/>
      <c r="L19" s="10"/>
      <c r="M19" s="10"/>
      <c r="N19" s="10"/>
      <c r="O19" s="10"/>
      <c r="P19" s="9"/>
    </row>
    <row r="20" spans="1:16" ht="31.5" customHeight="1" x14ac:dyDescent="0.25">
      <c r="A20" s="14"/>
      <c r="B20" s="1371" t="s">
        <v>1200</v>
      </c>
      <c r="C20" s="1371"/>
      <c r="D20" s="1371"/>
      <c r="E20" s="1371"/>
      <c r="F20" s="1371"/>
      <c r="G20" s="1371"/>
      <c r="H20" s="1371"/>
      <c r="I20" s="1371"/>
      <c r="J20" s="1371"/>
      <c r="K20" s="1371"/>
      <c r="L20" s="1371"/>
      <c r="M20" s="1371"/>
      <c r="N20" s="1371"/>
      <c r="O20" s="10"/>
      <c r="P20" s="9"/>
    </row>
    <row r="21" spans="1:16" x14ac:dyDescent="0.25">
      <c r="A21" s="14"/>
      <c r="B21" s="14"/>
      <c r="C21" s="14"/>
      <c r="D21" s="14"/>
      <c r="E21" s="14"/>
      <c r="F21" s="14"/>
      <c r="G21" s="14"/>
      <c r="H21" s="14"/>
      <c r="I21" s="14"/>
      <c r="J21" s="14"/>
      <c r="K21" s="14"/>
      <c r="L21" s="10"/>
      <c r="M21" s="10"/>
      <c r="N21" s="10"/>
      <c r="O21" s="10"/>
      <c r="P21" s="9"/>
    </row>
    <row r="22" spans="1:16" x14ac:dyDescent="0.25">
      <c r="A22" s="14"/>
      <c r="B22" s="1371" t="s">
        <v>828</v>
      </c>
      <c r="C22" s="1371"/>
      <c r="D22" s="1371"/>
      <c r="E22" s="1371"/>
      <c r="F22" s="1371"/>
      <c r="G22" s="1371"/>
      <c r="H22" s="1371"/>
      <c r="I22" s="1371"/>
      <c r="J22" s="1371"/>
      <c r="K22" s="1371"/>
      <c r="L22" s="1371"/>
      <c r="M22" s="1371"/>
      <c r="N22" s="1371"/>
      <c r="O22" s="10"/>
      <c r="P22" s="9"/>
    </row>
    <row r="23" spans="1:16" x14ac:dyDescent="0.25">
      <c r="A23" s="14"/>
      <c r="B23" s="14"/>
      <c r="C23" s="14"/>
      <c r="D23" s="14"/>
      <c r="E23" s="14"/>
      <c r="F23" s="14"/>
      <c r="G23" s="14"/>
      <c r="H23" s="14"/>
      <c r="I23" s="14"/>
      <c r="J23" s="14"/>
      <c r="K23" s="14"/>
      <c r="L23" s="10"/>
      <c r="M23" s="10"/>
      <c r="N23" s="10"/>
      <c r="O23" s="10"/>
      <c r="P23" s="9"/>
    </row>
    <row r="24" spans="1:16" ht="18" hidden="1" customHeight="1" x14ac:dyDescent="0.25">
      <c r="A24" s="1373" t="s">
        <v>829</v>
      </c>
      <c r="B24" s="1373"/>
      <c r="C24" s="1373"/>
      <c r="D24" s="1373"/>
      <c r="E24" s="14"/>
      <c r="F24" s="14"/>
      <c r="G24" s="14"/>
      <c r="H24" s="14"/>
      <c r="I24" s="14"/>
      <c r="J24" s="14"/>
      <c r="K24" s="14"/>
      <c r="L24" s="10"/>
      <c r="M24" s="10"/>
      <c r="N24" s="10"/>
      <c r="O24" s="10"/>
      <c r="P24" s="9"/>
    </row>
    <row r="25" spans="1:16" ht="15" hidden="1" customHeight="1" x14ac:dyDescent="0.25">
      <c r="A25" s="14"/>
      <c r="B25" s="14"/>
      <c r="C25" s="14"/>
      <c r="D25" s="14"/>
      <c r="E25" s="14"/>
      <c r="F25" s="14"/>
      <c r="G25" s="14"/>
      <c r="H25" s="14"/>
      <c r="I25" s="14"/>
      <c r="J25" s="14"/>
      <c r="K25" s="14"/>
      <c r="L25" s="10"/>
      <c r="M25" s="10"/>
      <c r="N25" s="10"/>
      <c r="O25" s="10"/>
      <c r="P25" s="9"/>
    </row>
    <row r="26" spans="1:16" hidden="1" x14ac:dyDescent="0.25">
      <c r="A26" s="14"/>
      <c r="B26" s="1371" t="s">
        <v>2167</v>
      </c>
      <c r="C26" s="1371"/>
      <c r="D26" s="1371"/>
      <c r="E26" s="1371"/>
      <c r="F26" s="1371"/>
      <c r="G26" s="1371"/>
      <c r="H26" s="1371"/>
      <c r="I26" s="1371"/>
      <c r="J26" s="1371"/>
      <c r="K26" s="1371"/>
      <c r="L26" s="1371"/>
      <c r="M26" s="1371"/>
      <c r="N26" s="1371"/>
      <c r="O26" s="10"/>
      <c r="P26" s="9"/>
    </row>
    <row r="27" spans="1:16" hidden="1" x14ac:dyDescent="0.25">
      <c r="A27" s="14"/>
      <c r="B27" s="14"/>
      <c r="C27" s="14"/>
      <c r="D27" s="14"/>
      <c r="E27" s="14"/>
      <c r="F27" s="14"/>
      <c r="G27" s="14"/>
      <c r="H27" s="14"/>
      <c r="I27" s="14"/>
      <c r="J27" s="14"/>
      <c r="K27" s="14"/>
      <c r="L27" s="10"/>
      <c r="M27" s="10"/>
      <c r="N27" s="10"/>
      <c r="O27" s="10"/>
      <c r="P27" s="9"/>
    </row>
    <row r="28" spans="1:16" ht="15.75" hidden="1" x14ac:dyDescent="0.25">
      <c r="A28" s="14"/>
      <c r="B28" s="1087" t="s">
        <v>1629</v>
      </c>
      <c r="C28" s="14"/>
      <c r="D28" s="14"/>
      <c r="E28" s="14"/>
      <c r="F28" s="14"/>
      <c r="G28" s="14"/>
      <c r="H28" s="14"/>
      <c r="I28" s="14"/>
      <c r="J28" s="14"/>
      <c r="K28" s="14"/>
      <c r="L28" s="10"/>
      <c r="M28" s="10"/>
      <c r="N28" s="10"/>
      <c r="O28" s="10"/>
      <c r="P28" s="9"/>
    </row>
    <row r="29" spans="1:16" ht="12" hidden="1" customHeight="1" x14ac:dyDescent="0.25">
      <c r="A29" s="14"/>
      <c r="B29" s="1084"/>
      <c r="C29" s="1089"/>
      <c r="D29" s="1089"/>
      <c r="E29" s="1089"/>
      <c r="F29" s="1089"/>
      <c r="G29" s="1089"/>
      <c r="H29" s="1089"/>
      <c r="I29" s="1089"/>
      <c r="J29" s="1089"/>
      <c r="K29" s="1079"/>
      <c r="L29" s="10"/>
      <c r="M29" s="10"/>
      <c r="N29" s="10"/>
      <c r="O29" s="10"/>
      <c r="P29" s="9"/>
    </row>
    <row r="30" spans="1:16" hidden="1" x14ac:dyDescent="0.25">
      <c r="A30" s="14"/>
      <c r="B30" s="1085"/>
      <c r="C30" s="14"/>
      <c r="E30" s="14"/>
      <c r="F30" s="14"/>
      <c r="G30" s="14"/>
      <c r="H30" s="14"/>
      <c r="I30" s="14"/>
      <c r="J30" s="10"/>
      <c r="K30" s="1080"/>
      <c r="L30" s="10"/>
      <c r="M30" s="10"/>
      <c r="N30" s="10"/>
      <c r="O30" s="10"/>
      <c r="P30" s="9"/>
    </row>
    <row r="31" spans="1:16" hidden="1" x14ac:dyDescent="0.25">
      <c r="A31" s="14"/>
      <c r="B31" s="1085"/>
      <c r="C31" s="14"/>
      <c r="D31" s="14"/>
      <c r="E31" s="14"/>
      <c r="F31" s="14"/>
      <c r="G31" s="14"/>
      <c r="I31" s="14"/>
      <c r="J31" s="10"/>
      <c r="K31" s="1080"/>
      <c r="L31" s="10"/>
      <c r="M31" s="10"/>
      <c r="N31" s="10"/>
      <c r="O31" s="10"/>
      <c r="P31" s="9"/>
    </row>
    <row r="32" spans="1:16" hidden="1" x14ac:dyDescent="0.25">
      <c r="A32" s="14"/>
      <c r="B32" s="1085"/>
      <c r="C32" s="14"/>
      <c r="D32" s="14"/>
      <c r="E32" s="14"/>
      <c r="F32" s="14"/>
      <c r="H32" s="14"/>
      <c r="I32" s="14"/>
      <c r="J32" s="10"/>
      <c r="K32" s="1080"/>
      <c r="L32" s="10"/>
      <c r="M32" s="10"/>
      <c r="N32" s="10"/>
      <c r="O32" s="10"/>
      <c r="P32" s="9"/>
    </row>
    <row r="33" spans="1:16" hidden="1" x14ac:dyDescent="0.25">
      <c r="A33" s="14"/>
      <c r="B33" s="1085"/>
      <c r="C33" s="14"/>
      <c r="D33" s="14"/>
      <c r="E33" s="14"/>
      <c r="F33" s="14"/>
      <c r="G33" s="14"/>
      <c r="H33" s="14"/>
      <c r="I33" s="14"/>
      <c r="K33" s="1080"/>
      <c r="L33" s="10"/>
      <c r="M33" s="10"/>
      <c r="N33" s="10"/>
      <c r="O33" s="10"/>
      <c r="P33" s="9"/>
    </row>
    <row r="34" spans="1:16" hidden="1" x14ac:dyDescent="0.25">
      <c r="A34" s="14"/>
      <c r="B34" s="1085"/>
      <c r="C34" s="14"/>
      <c r="D34" s="14"/>
      <c r="E34" s="14"/>
      <c r="F34" s="14"/>
      <c r="G34" s="14"/>
      <c r="H34" s="14"/>
      <c r="I34" s="14"/>
      <c r="J34" s="10"/>
      <c r="K34" s="1080"/>
      <c r="L34" s="10"/>
      <c r="M34" s="10"/>
      <c r="N34" s="10"/>
      <c r="O34" s="10"/>
      <c r="P34" s="9"/>
    </row>
    <row r="35" spans="1:16" hidden="1" x14ac:dyDescent="0.25">
      <c r="A35" s="14"/>
      <c r="B35" s="1085"/>
      <c r="C35" s="14"/>
      <c r="D35" s="14"/>
      <c r="E35" s="14"/>
      <c r="F35" s="14"/>
      <c r="G35" s="14"/>
      <c r="H35" s="14"/>
      <c r="I35" s="14"/>
      <c r="J35" s="10"/>
      <c r="K35" s="1080"/>
      <c r="L35" s="10"/>
      <c r="M35" s="10"/>
      <c r="N35" s="10"/>
      <c r="O35" s="10"/>
      <c r="P35" s="9"/>
    </row>
    <row r="36" spans="1:16" hidden="1" x14ac:dyDescent="0.25">
      <c r="A36" s="14"/>
      <c r="B36" s="1085"/>
      <c r="C36" s="14"/>
      <c r="D36" s="14"/>
      <c r="E36" s="14"/>
      <c r="F36" s="14"/>
      <c r="G36" s="14"/>
      <c r="H36" s="14"/>
      <c r="I36" s="14"/>
      <c r="J36" s="10"/>
      <c r="K36" s="1080"/>
      <c r="L36" s="10"/>
      <c r="M36" s="10"/>
      <c r="N36" s="10"/>
      <c r="O36" s="10"/>
      <c r="P36" s="9"/>
    </row>
    <row r="37" spans="1:16" hidden="1" x14ac:dyDescent="0.25">
      <c r="A37" s="14"/>
      <c r="B37" s="1085"/>
      <c r="C37" s="14"/>
      <c r="D37" s="14"/>
      <c r="E37" s="14"/>
      <c r="F37" s="14"/>
      <c r="G37" s="14"/>
      <c r="H37" s="14"/>
      <c r="I37" s="14"/>
      <c r="J37" s="10"/>
      <c r="K37" s="1080"/>
      <c r="L37" s="10"/>
      <c r="M37" s="10"/>
      <c r="N37" s="10"/>
      <c r="O37" s="10"/>
      <c r="P37" s="9"/>
    </row>
    <row r="38" spans="1:16" hidden="1" x14ac:dyDescent="0.25">
      <c r="A38" s="14"/>
      <c r="B38" s="1085"/>
      <c r="C38" s="14"/>
      <c r="D38" s="14"/>
      <c r="E38" s="14"/>
      <c r="F38" s="14"/>
      <c r="G38" s="14"/>
      <c r="H38" s="14"/>
      <c r="I38" s="14"/>
      <c r="J38" s="10"/>
      <c r="K38" s="1080"/>
      <c r="L38" s="10"/>
      <c r="M38" s="10"/>
      <c r="N38" s="10"/>
      <c r="O38" s="10"/>
      <c r="P38" s="9"/>
    </row>
    <row r="39" spans="1:16" hidden="1" x14ac:dyDescent="0.25">
      <c r="A39" s="14"/>
      <c r="B39" s="1085"/>
      <c r="C39" s="14"/>
      <c r="D39" s="14"/>
      <c r="E39" s="14"/>
      <c r="F39" s="14"/>
      <c r="G39" s="14"/>
      <c r="H39" s="14"/>
      <c r="I39" s="14"/>
      <c r="J39" s="10"/>
      <c r="K39" s="1080"/>
      <c r="L39" s="10"/>
      <c r="M39" s="10"/>
      <c r="N39" s="10"/>
      <c r="O39" s="10"/>
      <c r="P39" s="9"/>
    </row>
    <row r="40" spans="1:16" hidden="1" x14ac:dyDescent="0.25">
      <c r="A40" s="14"/>
      <c r="B40" s="1085"/>
      <c r="C40" s="14"/>
      <c r="D40" s="14"/>
      <c r="E40" s="14"/>
      <c r="F40" s="14"/>
      <c r="G40" s="14"/>
      <c r="H40" s="14"/>
      <c r="I40" s="14"/>
      <c r="J40" s="10"/>
      <c r="K40" s="1080"/>
      <c r="L40" s="10"/>
      <c r="M40" s="10"/>
      <c r="N40" s="10"/>
      <c r="O40" s="10"/>
      <c r="P40" s="9"/>
    </row>
    <row r="41" spans="1:16" hidden="1" x14ac:dyDescent="0.25">
      <c r="A41" s="14"/>
      <c r="B41" s="1085"/>
      <c r="C41" s="14"/>
      <c r="D41" s="14"/>
      <c r="E41" s="14"/>
      <c r="F41" s="14"/>
      <c r="G41" s="14"/>
      <c r="H41" s="14"/>
      <c r="I41" s="14"/>
      <c r="J41" s="10"/>
      <c r="K41" s="1080"/>
      <c r="L41" s="10"/>
      <c r="M41" s="10"/>
      <c r="N41" s="10"/>
      <c r="O41" s="10"/>
      <c r="P41" s="9"/>
    </row>
    <row r="42" spans="1:16" hidden="1" x14ac:dyDescent="0.25">
      <c r="A42" s="14"/>
      <c r="B42" s="1085"/>
      <c r="C42" s="14"/>
      <c r="D42" s="14"/>
      <c r="E42" s="14"/>
      <c r="F42" s="14"/>
      <c r="G42" s="14"/>
      <c r="H42" s="14"/>
      <c r="I42" s="14"/>
      <c r="J42" s="10"/>
      <c r="K42" s="1080"/>
      <c r="L42" s="10"/>
      <c r="M42" s="10"/>
      <c r="N42" s="10"/>
      <c r="O42" s="10"/>
      <c r="P42" s="9"/>
    </row>
    <row r="43" spans="1:16" ht="10.5" hidden="1" customHeight="1" x14ac:dyDescent="0.25">
      <c r="A43" s="14"/>
      <c r="B43" s="1083"/>
      <c r="C43" s="1081"/>
      <c r="D43" s="1081"/>
      <c r="E43" s="1081"/>
      <c r="F43" s="1081"/>
      <c r="G43" s="1081"/>
      <c r="H43" s="1081"/>
      <c r="I43" s="1081"/>
      <c r="J43" s="1081"/>
      <c r="K43" s="1082"/>
      <c r="L43" s="10"/>
      <c r="M43" s="10"/>
      <c r="N43" s="10"/>
      <c r="O43" s="10"/>
      <c r="P43" s="9"/>
    </row>
    <row r="44" spans="1:16" ht="10.5" hidden="1" customHeight="1" x14ac:dyDescent="0.25">
      <c r="A44" s="14"/>
      <c r="B44" s="15"/>
      <c r="C44" s="1086"/>
      <c r="D44" s="1086"/>
      <c r="E44" s="1086"/>
      <c r="F44" s="1086"/>
      <c r="G44" s="1086"/>
      <c r="H44" s="1086"/>
      <c r="I44" s="1086"/>
      <c r="J44" s="1086"/>
      <c r="K44" s="1086"/>
      <c r="L44" s="1086"/>
      <c r="M44" s="10"/>
      <c r="N44" s="10"/>
      <c r="O44" s="10"/>
      <c r="P44" s="9"/>
    </row>
    <row r="45" spans="1:16" ht="15.75" hidden="1" x14ac:dyDescent="0.25">
      <c r="A45" s="14"/>
      <c r="B45" s="1088" t="s">
        <v>1630</v>
      </c>
      <c r="C45" s="14"/>
      <c r="D45" s="14"/>
      <c r="E45" s="14"/>
      <c r="F45" s="14"/>
      <c r="G45" s="14"/>
      <c r="H45" s="14"/>
      <c r="I45" s="14"/>
      <c r="J45" s="14"/>
      <c r="K45" s="14"/>
      <c r="L45" s="10"/>
      <c r="M45" s="10"/>
      <c r="N45" s="10"/>
      <c r="O45" s="10"/>
      <c r="P45" s="9"/>
    </row>
    <row r="46" spans="1:16" ht="12" hidden="1" customHeight="1" x14ac:dyDescent="0.25">
      <c r="A46" s="15"/>
      <c r="B46" s="1095"/>
      <c r="C46" s="1090"/>
      <c r="D46" s="1090"/>
      <c r="E46" s="1090"/>
      <c r="F46" s="1090"/>
      <c r="G46" s="1090"/>
      <c r="H46" s="1090"/>
      <c r="I46" s="1090"/>
      <c r="J46" s="1090"/>
      <c r="K46" s="1090"/>
      <c r="L46" s="1091"/>
      <c r="M46" s="10"/>
      <c r="N46" s="10"/>
      <c r="O46" s="10"/>
      <c r="P46" s="9"/>
    </row>
    <row r="47" spans="1:16" hidden="1" x14ac:dyDescent="0.25">
      <c r="A47" s="15"/>
      <c r="B47" s="1096"/>
      <c r="C47" s="15"/>
      <c r="D47" s="15"/>
      <c r="E47" s="15"/>
      <c r="F47" s="14"/>
      <c r="G47" s="14"/>
      <c r="H47" s="14"/>
      <c r="I47" s="14"/>
      <c r="J47" s="14"/>
      <c r="K47" s="14"/>
      <c r="L47" s="1092"/>
      <c r="M47" s="10"/>
      <c r="N47" s="10"/>
      <c r="O47" s="10"/>
      <c r="P47" s="9"/>
    </row>
    <row r="48" spans="1:16" hidden="1" x14ac:dyDescent="0.25">
      <c r="A48" s="15"/>
      <c r="B48" s="1096"/>
      <c r="C48" s="15"/>
      <c r="D48" s="15"/>
      <c r="E48" s="15"/>
      <c r="F48" s="14"/>
      <c r="G48" s="14"/>
      <c r="H48" s="14"/>
      <c r="I48" s="14"/>
      <c r="J48" s="14"/>
      <c r="K48" s="14"/>
      <c r="L48" s="1092"/>
      <c r="M48" s="10"/>
      <c r="N48" s="10"/>
      <c r="O48" s="10"/>
      <c r="P48" s="9"/>
    </row>
    <row r="49" spans="1:16" hidden="1" x14ac:dyDescent="0.25">
      <c r="A49" s="15"/>
      <c r="B49" s="1096"/>
      <c r="C49" s="15"/>
      <c r="D49" s="15"/>
      <c r="E49" s="15"/>
      <c r="F49" s="14"/>
      <c r="G49" s="14"/>
      <c r="H49" s="14"/>
      <c r="I49" s="14"/>
      <c r="J49" s="14"/>
      <c r="K49" s="14"/>
      <c r="L49" s="1092"/>
      <c r="M49" s="10"/>
      <c r="N49" s="10"/>
      <c r="O49" s="10"/>
      <c r="P49" s="9"/>
    </row>
    <row r="50" spans="1:16" hidden="1" x14ac:dyDescent="0.25">
      <c r="A50" s="15"/>
      <c r="B50" s="1096"/>
      <c r="C50" s="15"/>
      <c r="D50" s="15"/>
      <c r="E50" s="15"/>
      <c r="F50" s="14"/>
      <c r="G50" s="14"/>
      <c r="H50" s="14"/>
      <c r="I50" s="14"/>
      <c r="J50" s="14"/>
      <c r="K50" s="14"/>
      <c r="L50" s="1092"/>
      <c r="M50" s="10"/>
      <c r="N50" s="10"/>
      <c r="O50" s="10"/>
      <c r="P50" s="9"/>
    </row>
    <row r="51" spans="1:16" hidden="1" x14ac:dyDescent="0.25">
      <c r="A51" s="15"/>
      <c r="B51" s="1096"/>
      <c r="C51" s="15"/>
      <c r="D51" s="15"/>
      <c r="E51" s="15"/>
      <c r="F51" s="14"/>
      <c r="G51" s="14"/>
      <c r="H51" s="14"/>
      <c r="I51" s="14"/>
      <c r="J51" s="14"/>
      <c r="K51" s="14"/>
      <c r="L51" s="1092"/>
      <c r="M51" s="10"/>
      <c r="N51" s="10"/>
      <c r="O51" s="10"/>
      <c r="P51" s="9"/>
    </row>
    <row r="52" spans="1:16" hidden="1" x14ac:dyDescent="0.25">
      <c r="A52" s="15"/>
      <c r="B52" s="1096"/>
      <c r="C52" s="15"/>
      <c r="D52" s="15"/>
      <c r="E52" s="15"/>
      <c r="F52" s="14"/>
      <c r="G52" s="14"/>
      <c r="H52" s="14"/>
      <c r="I52" s="14"/>
      <c r="J52" s="14"/>
      <c r="K52" s="14"/>
      <c r="L52" s="1092"/>
      <c r="M52" s="10"/>
      <c r="N52" s="10"/>
      <c r="O52" s="10"/>
      <c r="P52" s="9"/>
    </row>
    <row r="53" spans="1:16" hidden="1" x14ac:dyDescent="0.25">
      <c r="A53" s="15"/>
      <c r="B53" s="1096"/>
      <c r="C53" s="15"/>
      <c r="D53" s="15"/>
      <c r="E53" s="15"/>
      <c r="F53" s="14"/>
      <c r="G53" s="14"/>
      <c r="H53" s="14"/>
      <c r="I53" s="14"/>
      <c r="J53" s="14"/>
      <c r="K53" s="14"/>
      <c r="L53" s="1092"/>
      <c r="M53" s="10"/>
      <c r="N53" s="10"/>
      <c r="O53" s="10"/>
      <c r="P53" s="9"/>
    </row>
    <row r="54" spans="1:16" hidden="1" x14ac:dyDescent="0.25">
      <c r="A54" s="15"/>
      <c r="B54" s="1096"/>
      <c r="C54" s="15"/>
      <c r="D54" s="15"/>
      <c r="E54" s="15"/>
      <c r="F54" s="14"/>
      <c r="G54" s="14"/>
      <c r="H54" s="14"/>
      <c r="I54" s="14"/>
      <c r="J54" s="14"/>
      <c r="K54" s="14"/>
      <c r="L54" s="1092"/>
      <c r="M54" s="10"/>
      <c r="N54" s="10"/>
      <c r="O54" s="10"/>
      <c r="P54" s="9"/>
    </row>
    <row r="55" spans="1:16" hidden="1" x14ac:dyDescent="0.25">
      <c r="A55" s="15"/>
      <c r="B55" s="1096"/>
      <c r="C55" s="15"/>
      <c r="D55" s="15"/>
      <c r="E55" s="15"/>
      <c r="F55" s="14"/>
      <c r="G55" s="14"/>
      <c r="H55" s="14"/>
      <c r="I55" s="14"/>
      <c r="J55" s="14"/>
      <c r="K55" s="14"/>
      <c r="L55" s="1092"/>
      <c r="M55" s="10"/>
      <c r="N55" s="10"/>
      <c r="O55" s="10"/>
      <c r="P55" s="9"/>
    </row>
    <row r="56" spans="1:16" hidden="1" x14ac:dyDescent="0.25">
      <c r="A56" s="15"/>
      <c r="B56" s="1096"/>
      <c r="C56" s="15"/>
      <c r="D56" s="15"/>
      <c r="E56" s="15"/>
      <c r="F56" s="14"/>
      <c r="G56" s="14"/>
      <c r="H56" s="14"/>
      <c r="I56" s="14"/>
      <c r="J56" s="14"/>
      <c r="K56" s="14"/>
      <c r="L56" s="1092"/>
      <c r="M56" s="10"/>
      <c r="N56" s="10"/>
      <c r="O56" s="10"/>
      <c r="P56" s="9"/>
    </row>
    <row r="57" spans="1:16" hidden="1" x14ac:dyDescent="0.25">
      <c r="A57" s="15"/>
      <c r="B57" s="1096"/>
      <c r="C57" s="15"/>
      <c r="D57" s="15"/>
      <c r="E57" s="15"/>
      <c r="F57" s="14"/>
      <c r="G57" s="14"/>
      <c r="H57" s="14"/>
      <c r="I57" s="14"/>
      <c r="J57" s="14"/>
      <c r="K57" s="14"/>
      <c r="L57" s="1092"/>
      <c r="M57" s="10"/>
      <c r="N57" s="10"/>
      <c r="O57" s="10"/>
      <c r="P57" s="9"/>
    </row>
    <row r="58" spans="1:16" hidden="1" x14ac:dyDescent="0.25">
      <c r="A58" s="15"/>
      <c r="B58" s="1096"/>
      <c r="C58" s="15"/>
      <c r="D58" s="15"/>
      <c r="E58" s="15"/>
      <c r="F58" s="14"/>
      <c r="G58" s="14"/>
      <c r="H58" s="14"/>
      <c r="I58" s="14"/>
      <c r="J58" s="14"/>
      <c r="K58" s="14"/>
      <c r="L58" s="1092"/>
      <c r="M58" s="10"/>
      <c r="N58" s="10"/>
      <c r="O58" s="10"/>
      <c r="P58" s="9"/>
    </row>
    <row r="59" spans="1:16" hidden="1" x14ac:dyDescent="0.25">
      <c r="A59" s="15"/>
      <c r="B59" s="1096"/>
      <c r="C59" s="15"/>
      <c r="D59" s="15"/>
      <c r="E59" s="15"/>
      <c r="F59" s="14"/>
      <c r="G59" s="14"/>
      <c r="H59" s="14"/>
      <c r="I59" s="14"/>
      <c r="J59" s="14"/>
      <c r="K59" s="14"/>
      <c r="L59" s="1092"/>
      <c r="M59" s="10"/>
      <c r="N59" s="10"/>
      <c r="O59" s="10"/>
      <c r="P59" s="9"/>
    </row>
    <row r="60" spans="1:16" hidden="1" x14ac:dyDescent="0.25">
      <c r="A60" s="15"/>
      <c r="B60" s="1096"/>
      <c r="C60" s="15"/>
      <c r="D60" s="15"/>
      <c r="E60" s="15"/>
      <c r="F60" s="14"/>
      <c r="G60" s="14"/>
      <c r="H60" s="14"/>
      <c r="I60" s="14"/>
      <c r="J60" s="14"/>
      <c r="K60" s="14"/>
      <c r="L60" s="1092"/>
      <c r="M60" s="10"/>
      <c r="N60" s="10"/>
      <c r="O60" s="10"/>
      <c r="P60" s="9"/>
    </row>
    <row r="61" spans="1:16" hidden="1" x14ac:dyDescent="0.25">
      <c r="A61" s="15"/>
      <c r="B61" s="1096"/>
      <c r="C61" s="15"/>
      <c r="D61" s="15"/>
      <c r="E61" s="15"/>
      <c r="F61" s="14"/>
      <c r="G61" s="14"/>
      <c r="H61" s="14"/>
      <c r="I61" s="14"/>
      <c r="J61" s="14"/>
      <c r="K61" s="14"/>
      <c r="L61" s="1092"/>
      <c r="M61" s="10"/>
      <c r="N61" s="10"/>
      <c r="O61" s="10"/>
      <c r="P61" s="9"/>
    </row>
    <row r="62" spans="1:16" hidden="1" x14ac:dyDescent="0.25">
      <c r="A62" s="15"/>
      <c r="B62" s="1096"/>
      <c r="C62" s="15"/>
      <c r="D62" s="15"/>
      <c r="E62" s="15"/>
      <c r="F62" s="14"/>
      <c r="G62" s="14"/>
      <c r="H62" s="14"/>
      <c r="I62" s="14"/>
      <c r="J62" s="14"/>
      <c r="K62" s="14"/>
      <c r="L62" s="1092"/>
      <c r="M62" s="10"/>
      <c r="N62" s="10"/>
      <c r="O62" s="10"/>
      <c r="P62" s="9"/>
    </row>
    <row r="63" spans="1:16" hidden="1" x14ac:dyDescent="0.25">
      <c r="A63" s="15"/>
      <c r="B63" s="1096"/>
      <c r="C63" s="15"/>
      <c r="D63" s="15"/>
      <c r="E63" s="15"/>
      <c r="F63" s="14"/>
      <c r="G63" s="14"/>
      <c r="H63" s="14"/>
      <c r="I63" s="14"/>
      <c r="J63" s="14"/>
      <c r="K63" s="14"/>
      <c r="L63" s="1092"/>
      <c r="M63" s="10"/>
      <c r="N63" s="10"/>
      <c r="O63" s="10"/>
      <c r="P63" s="9"/>
    </row>
    <row r="64" spans="1:16" ht="16.5" hidden="1" customHeight="1" x14ac:dyDescent="0.25">
      <c r="A64" s="15"/>
      <c r="B64" s="1096"/>
      <c r="C64" s="15"/>
      <c r="D64" s="15"/>
      <c r="E64" s="15"/>
      <c r="F64" s="14"/>
      <c r="G64" s="14"/>
      <c r="H64" s="14"/>
      <c r="I64" s="14"/>
      <c r="J64" s="14"/>
      <c r="K64" s="14"/>
      <c r="L64" s="1092"/>
      <c r="M64" s="10"/>
      <c r="N64" s="10"/>
      <c r="O64" s="10"/>
      <c r="P64" s="9"/>
    </row>
    <row r="65" spans="1:16" ht="16.5" hidden="1" customHeight="1" x14ac:dyDescent="0.25">
      <c r="A65" s="15"/>
      <c r="B65" s="1096"/>
      <c r="C65" s="15"/>
      <c r="D65" s="15"/>
      <c r="E65" s="15"/>
      <c r="F65" s="14"/>
      <c r="G65" s="14"/>
      <c r="H65" s="14"/>
      <c r="J65" s="14"/>
      <c r="K65" s="14"/>
      <c r="L65" s="1092"/>
      <c r="M65" s="10"/>
      <c r="N65" s="10"/>
      <c r="O65" s="10"/>
      <c r="P65" s="9"/>
    </row>
    <row r="66" spans="1:16" ht="16.5" hidden="1" customHeight="1" x14ac:dyDescent="0.25">
      <c r="A66" s="15"/>
      <c r="B66" s="1096"/>
      <c r="C66" s="15"/>
      <c r="D66" s="15"/>
      <c r="E66" s="15"/>
      <c r="F66" s="14"/>
      <c r="G66" s="14"/>
      <c r="H66" s="14"/>
      <c r="I66" s="14"/>
      <c r="J66" s="14"/>
      <c r="K66" s="14"/>
      <c r="L66" s="1092"/>
      <c r="M66" s="10"/>
      <c r="N66" s="10"/>
      <c r="O66" s="10"/>
      <c r="P66" s="9"/>
    </row>
    <row r="67" spans="1:16" ht="16.5" hidden="1" customHeight="1" x14ac:dyDescent="0.25">
      <c r="A67" s="15"/>
      <c r="B67" s="1096"/>
      <c r="C67" s="15"/>
      <c r="D67" s="15"/>
      <c r="E67" s="15"/>
      <c r="F67" s="14"/>
      <c r="G67" s="14"/>
      <c r="H67" s="14"/>
      <c r="I67" s="14"/>
      <c r="J67" s="14"/>
      <c r="K67" s="14"/>
      <c r="L67" s="1092"/>
      <c r="M67" s="10"/>
      <c r="N67" s="10"/>
      <c r="O67" s="10"/>
      <c r="P67" s="9"/>
    </row>
    <row r="68" spans="1:16" hidden="1" x14ac:dyDescent="0.25">
      <c r="A68" s="15"/>
      <c r="B68" s="1096"/>
      <c r="C68" s="14"/>
      <c r="D68" s="14"/>
      <c r="E68" s="14"/>
      <c r="F68" s="14"/>
      <c r="G68" s="14"/>
      <c r="H68" s="14"/>
      <c r="I68" s="14"/>
      <c r="J68" s="14"/>
      <c r="K68" s="14"/>
      <c r="L68" s="1092"/>
      <c r="M68" s="10"/>
      <c r="N68" s="10"/>
      <c r="O68" s="10"/>
      <c r="P68" s="9"/>
    </row>
    <row r="69" spans="1:16" hidden="1" x14ac:dyDescent="0.25">
      <c r="A69" s="14"/>
      <c r="B69" s="1097"/>
      <c r="C69" s="1093"/>
      <c r="D69" s="1093"/>
      <c r="E69" s="1093"/>
      <c r="F69" s="1093"/>
      <c r="G69" s="1093"/>
      <c r="H69" s="1093"/>
      <c r="I69" s="1093"/>
      <c r="J69" s="1093"/>
      <c r="K69" s="1093"/>
      <c r="L69" s="1094"/>
      <c r="M69" s="10"/>
      <c r="N69" s="10"/>
      <c r="O69" s="10"/>
      <c r="P69" s="9"/>
    </row>
    <row r="70" spans="1:16" hidden="1" x14ac:dyDescent="0.25">
      <c r="A70" s="14"/>
      <c r="B70" s="15"/>
      <c r="C70" s="15"/>
      <c r="D70" s="15"/>
      <c r="E70" s="15"/>
      <c r="F70" s="15"/>
      <c r="G70" s="15"/>
      <c r="H70" s="15"/>
      <c r="I70" s="15"/>
      <c r="J70" s="15"/>
      <c r="K70" s="15"/>
      <c r="L70" s="15"/>
      <c r="M70" s="15"/>
      <c r="N70" s="10"/>
      <c r="O70" s="10"/>
      <c r="P70" s="9"/>
    </row>
    <row r="71" spans="1:16" ht="15.75" hidden="1" x14ac:dyDescent="0.25">
      <c r="A71" s="14"/>
      <c r="B71" s="1098" t="s">
        <v>1631</v>
      </c>
      <c r="C71" s="14"/>
      <c r="D71" s="14"/>
      <c r="E71" s="14"/>
      <c r="F71" s="14"/>
      <c r="G71" s="14"/>
      <c r="H71" s="14"/>
      <c r="I71" s="14"/>
      <c r="J71" s="14"/>
      <c r="K71" s="10"/>
      <c r="L71" s="10"/>
      <c r="M71" s="10"/>
      <c r="N71" s="10"/>
      <c r="O71" s="10"/>
      <c r="P71" s="9"/>
    </row>
    <row r="72" spans="1:16" hidden="1" x14ac:dyDescent="0.25">
      <c r="A72" s="1104"/>
      <c r="B72" s="1099"/>
      <c r="C72" s="1099"/>
      <c r="D72" s="1099"/>
      <c r="E72" s="1099"/>
      <c r="F72" s="1099"/>
      <c r="G72" s="1099"/>
      <c r="H72" s="1099"/>
      <c r="I72" s="1099"/>
      <c r="J72" s="1099"/>
      <c r="K72" s="1099"/>
      <c r="L72" s="1099"/>
      <c r="M72" s="1099"/>
      <c r="N72" s="1100"/>
      <c r="O72" s="10"/>
      <c r="P72" s="9"/>
    </row>
    <row r="73" spans="1:16" hidden="1" x14ac:dyDescent="0.25">
      <c r="A73" s="1104"/>
      <c r="B73" s="1179" t="s">
        <v>1759</v>
      </c>
      <c r="C73" s="15"/>
      <c r="D73" s="14"/>
      <c r="E73" s="14"/>
      <c r="F73" s="14"/>
      <c r="G73" s="14"/>
      <c r="H73" s="14"/>
      <c r="I73" s="14"/>
      <c r="J73" s="1086"/>
      <c r="K73" s="14"/>
      <c r="L73" s="1086"/>
      <c r="M73" s="1086"/>
      <c r="N73" s="1101"/>
      <c r="O73" s="10"/>
      <c r="P73" s="9"/>
    </row>
    <row r="74" spans="1:16" hidden="1" x14ac:dyDescent="0.25">
      <c r="A74" s="1104"/>
      <c r="B74" s="1179" t="s">
        <v>1758</v>
      </c>
      <c r="C74" s="15"/>
      <c r="D74" s="14"/>
      <c r="E74" s="14"/>
      <c r="F74" s="14"/>
      <c r="G74" s="14"/>
      <c r="H74" s="14"/>
      <c r="I74" s="14"/>
      <c r="J74" s="1086"/>
      <c r="K74" s="14"/>
      <c r="L74" s="1086"/>
      <c r="M74" s="1086"/>
      <c r="N74" s="1101"/>
      <c r="O74" s="10"/>
      <c r="P74" s="9"/>
    </row>
    <row r="75" spans="1:16" hidden="1" x14ac:dyDescent="0.25">
      <c r="A75" s="1104"/>
      <c r="B75" s="1179" t="s">
        <v>1758</v>
      </c>
      <c r="C75" s="15"/>
      <c r="D75" s="14"/>
      <c r="E75" s="14"/>
      <c r="F75" s="14"/>
      <c r="G75" s="14"/>
      <c r="H75" s="14"/>
      <c r="I75" s="14"/>
      <c r="J75" s="1086"/>
      <c r="K75" s="14"/>
      <c r="L75" s="1086"/>
      <c r="M75" s="1086"/>
      <c r="N75" s="1101"/>
      <c r="O75" s="10"/>
      <c r="P75" s="9"/>
    </row>
    <row r="76" spans="1:16" hidden="1" x14ac:dyDescent="0.25">
      <c r="A76" s="1104"/>
      <c r="B76" s="1179" t="s">
        <v>1758</v>
      </c>
      <c r="C76" s="15"/>
      <c r="D76" s="14"/>
      <c r="E76" s="14"/>
      <c r="F76" s="14"/>
      <c r="G76" s="14"/>
      <c r="H76" s="14"/>
      <c r="I76" s="14"/>
      <c r="J76" s="1086"/>
      <c r="K76" s="14"/>
      <c r="L76" s="1086"/>
      <c r="M76" s="1086"/>
      <c r="N76" s="1101"/>
      <c r="O76" s="10"/>
      <c r="P76" s="9"/>
    </row>
    <row r="77" spans="1:16" hidden="1" x14ac:dyDescent="0.25">
      <c r="A77" s="1104"/>
      <c r="B77" s="1179" t="s">
        <v>1759</v>
      </c>
      <c r="C77" s="15"/>
      <c r="D77" s="14"/>
      <c r="E77" s="14"/>
      <c r="F77" s="14"/>
      <c r="G77" s="14"/>
      <c r="H77" s="14"/>
      <c r="I77" s="14"/>
      <c r="J77" s="1086"/>
      <c r="K77" s="14"/>
      <c r="L77" s="1086"/>
      <c r="M77" s="1086"/>
      <c r="N77" s="1101"/>
      <c r="O77" s="10"/>
      <c r="P77" s="9"/>
    </row>
    <row r="78" spans="1:16" hidden="1" x14ac:dyDescent="0.25">
      <c r="A78" s="1104"/>
      <c r="B78" s="1179" t="s">
        <v>1760</v>
      </c>
      <c r="C78" s="15"/>
      <c r="D78" s="14"/>
      <c r="E78" s="14"/>
      <c r="F78" s="14"/>
      <c r="G78" s="14"/>
      <c r="H78" s="14"/>
      <c r="I78" s="14"/>
      <c r="J78" s="1086"/>
      <c r="K78" s="14"/>
      <c r="L78" s="1086"/>
      <c r="M78" s="1086"/>
      <c r="N78" s="1101"/>
      <c r="O78" s="10"/>
      <c r="P78" s="9"/>
    </row>
    <row r="79" spans="1:16" hidden="1" x14ac:dyDescent="0.25">
      <c r="A79" s="1104"/>
      <c r="B79" s="1370" t="s">
        <v>1759</v>
      </c>
      <c r="C79" s="15"/>
      <c r="D79" s="14"/>
      <c r="E79" s="14"/>
      <c r="F79" s="14"/>
      <c r="G79" s="14"/>
      <c r="H79" s="14"/>
      <c r="I79" s="14"/>
      <c r="J79" s="1086"/>
      <c r="K79" s="14"/>
      <c r="L79" s="1086"/>
      <c r="M79" s="1086"/>
      <c r="N79" s="1101"/>
      <c r="O79" s="10"/>
      <c r="P79" s="9"/>
    </row>
    <row r="80" spans="1:16" hidden="1" x14ac:dyDescent="0.25">
      <c r="A80" s="1104"/>
      <c r="B80" s="1370"/>
      <c r="C80" s="15"/>
      <c r="D80" s="14"/>
      <c r="E80" s="14"/>
      <c r="F80" s="14"/>
      <c r="G80" s="14"/>
      <c r="H80" s="14"/>
      <c r="I80" s="14"/>
      <c r="J80" s="1086"/>
      <c r="K80" s="14"/>
      <c r="L80" s="1086"/>
      <c r="M80" s="1086"/>
      <c r="N80" s="1101"/>
      <c r="O80" s="10"/>
      <c r="P80" s="9"/>
    </row>
    <row r="81" spans="1:16" hidden="1" x14ac:dyDescent="0.25">
      <c r="A81" s="1104"/>
      <c r="B81" s="15"/>
      <c r="C81" s="15"/>
      <c r="D81" s="14"/>
      <c r="E81" s="14"/>
      <c r="F81" s="10"/>
      <c r="G81" s="10"/>
      <c r="H81" s="10"/>
      <c r="I81" s="10"/>
      <c r="J81" s="1086"/>
      <c r="K81" s="10"/>
      <c r="L81" s="1086"/>
      <c r="M81" s="1086"/>
      <c r="N81" s="1101"/>
      <c r="O81" s="10"/>
      <c r="P81" s="9"/>
    </row>
    <row r="82" spans="1:16" hidden="1" x14ac:dyDescent="0.25">
      <c r="A82" s="1104"/>
      <c r="B82" s="14"/>
      <c r="C82" s="14"/>
      <c r="D82" s="14"/>
      <c r="E82" s="14"/>
      <c r="F82" s="10"/>
      <c r="G82" s="10"/>
      <c r="H82" s="10"/>
      <c r="I82" s="10"/>
      <c r="J82" s="1086"/>
      <c r="K82" s="10"/>
      <c r="L82" s="1086"/>
      <c r="M82" s="1086"/>
      <c r="N82" s="1101"/>
      <c r="O82" s="10"/>
      <c r="P82" s="9"/>
    </row>
    <row r="83" spans="1:16" hidden="1" x14ac:dyDescent="0.25">
      <c r="A83" s="1104"/>
      <c r="B83" s="14"/>
      <c r="C83" s="14"/>
      <c r="D83" s="14"/>
      <c r="E83" s="14"/>
      <c r="F83" s="10"/>
      <c r="G83" s="10"/>
      <c r="H83" s="10"/>
      <c r="I83" s="10"/>
      <c r="J83" s="1086"/>
      <c r="K83" s="10"/>
      <c r="L83" s="1086"/>
      <c r="M83" s="1086"/>
      <c r="N83" s="1101"/>
      <c r="O83" s="10"/>
      <c r="P83" s="9"/>
    </row>
    <row r="84" spans="1:16" hidden="1" x14ac:dyDescent="0.25">
      <c r="A84" s="1104"/>
      <c r="B84" s="14"/>
      <c r="C84" s="14"/>
      <c r="D84" s="14"/>
      <c r="E84" s="14"/>
      <c r="F84" s="10"/>
      <c r="G84" s="10"/>
      <c r="H84" s="10"/>
      <c r="I84" s="10"/>
      <c r="J84" s="1086"/>
      <c r="K84" s="10"/>
      <c r="L84" s="1086"/>
      <c r="M84" s="1086"/>
      <c r="N84" s="1101"/>
      <c r="O84" s="10"/>
      <c r="P84" s="9"/>
    </row>
    <row r="85" spans="1:16" hidden="1" x14ac:dyDescent="0.25">
      <c r="A85" s="1104"/>
      <c r="B85" s="14"/>
      <c r="C85" s="14"/>
      <c r="D85" s="14"/>
      <c r="E85" s="14"/>
      <c r="F85" s="10"/>
      <c r="G85" s="10"/>
      <c r="H85" s="10"/>
      <c r="I85" s="10"/>
      <c r="J85" s="1086"/>
      <c r="K85" s="10"/>
      <c r="L85" s="1086"/>
      <c r="M85" s="1086"/>
      <c r="N85" s="1101"/>
      <c r="O85" s="10"/>
      <c r="P85" s="9"/>
    </row>
    <row r="86" spans="1:16" hidden="1" x14ac:dyDescent="0.25">
      <c r="A86" s="1104"/>
      <c r="B86" s="14"/>
      <c r="C86" s="14"/>
      <c r="D86" s="14"/>
      <c r="E86" s="14"/>
      <c r="F86" s="10"/>
      <c r="G86" s="10"/>
      <c r="H86" s="10"/>
      <c r="I86" s="10"/>
      <c r="J86" s="1086"/>
      <c r="K86" s="10"/>
      <c r="L86" s="1086"/>
      <c r="M86" s="1086"/>
      <c r="N86" s="1101"/>
      <c r="O86" s="10"/>
      <c r="P86" s="9"/>
    </row>
    <row r="87" spans="1:16" hidden="1" x14ac:dyDescent="0.25">
      <c r="A87" s="1104"/>
      <c r="B87" s="1102"/>
      <c r="C87" s="1102"/>
      <c r="D87" s="1102"/>
      <c r="E87" s="1102"/>
      <c r="F87" s="1102"/>
      <c r="G87" s="1102"/>
      <c r="H87" s="1102"/>
      <c r="I87" s="1102"/>
      <c r="J87" s="1102"/>
      <c r="K87" s="1102"/>
      <c r="L87" s="1102"/>
      <c r="M87" s="1102"/>
      <c r="N87" s="1103"/>
      <c r="O87" s="10"/>
      <c r="P87" s="9"/>
    </row>
    <row r="88" spans="1:16" hidden="1" x14ac:dyDescent="0.25">
      <c r="A88" s="14"/>
      <c r="B88" s="14"/>
      <c r="C88" s="14"/>
      <c r="D88" s="14"/>
      <c r="E88" s="14"/>
      <c r="F88" s="10"/>
      <c r="G88" s="10"/>
      <c r="H88" s="10"/>
      <c r="I88" s="10"/>
      <c r="J88" s="10"/>
      <c r="K88" s="10"/>
      <c r="L88" s="10"/>
      <c r="M88" s="10"/>
      <c r="N88" s="10"/>
      <c r="O88" s="10"/>
      <c r="P88" s="9"/>
    </row>
    <row r="89" spans="1:16" ht="15.75" hidden="1" thickBot="1" x14ac:dyDescent="0.3">
      <c r="A89" s="14"/>
      <c r="B89" s="14"/>
      <c r="C89" s="14"/>
      <c r="D89" s="14"/>
      <c r="E89" s="14"/>
      <c r="F89" s="14"/>
      <c r="G89" s="14"/>
      <c r="H89" s="14"/>
      <c r="I89" s="14"/>
      <c r="J89" s="14"/>
      <c r="K89" s="14"/>
      <c r="L89" s="10"/>
      <c r="M89" s="10"/>
      <c r="N89" s="10"/>
      <c r="O89" s="10"/>
      <c r="P89" s="9"/>
    </row>
    <row r="90" spans="1:16" ht="15.75" hidden="1" thickBot="1" x14ac:dyDescent="0.3">
      <c r="A90" s="14"/>
      <c r="B90" s="973" t="s">
        <v>830</v>
      </c>
      <c r="C90" s="14"/>
      <c r="D90" s="14"/>
      <c r="E90" s="14"/>
      <c r="F90" s="14"/>
      <c r="G90" s="14"/>
      <c r="H90" s="14"/>
      <c r="I90" s="14"/>
      <c r="J90" s="14"/>
      <c r="K90" s="14"/>
      <c r="L90" s="581"/>
      <c r="M90" s="581"/>
      <c r="N90" s="581"/>
      <c r="O90" s="10"/>
      <c r="P90" s="9"/>
    </row>
    <row r="91" spans="1:16" ht="12" hidden="1" customHeight="1" thickBot="1" x14ac:dyDescent="0.3">
      <c r="A91" s="14"/>
      <c r="B91" s="14"/>
      <c r="C91" s="14"/>
      <c r="D91" s="14"/>
      <c r="E91" s="14"/>
      <c r="F91" s="14"/>
      <c r="G91" s="14"/>
      <c r="H91" s="14"/>
      <c r="I91" s="14"/>
      <c r="J91" s="14"/>
      <c r="K91" s="14"/>
      <c r="L91" s="581"/>
      <c r="M91" s="581"/>
      <c r="N91" s="581"/>
      <c r="O91" s="10"/>
      <c r="P91" s="9"/>
    </row>
    <row r="92" spans="1:16" ht="16.5" hidden="1" customHeight="1" thickBot="1" x14ac:dyDescent="0.3">
      <c r="A92" s="14"/>
      <c r="B92" s="1141" t="s">
        <v>1840</v>
      </c>
      <c r="C92" s="1142"/>
      <c r="D92" s="1142"/>
      <c r="E92" s="1142"/>
      <c r="F92" s="14"/>
      <c r="G92" s="1141"/>
      <c r="H92" s="1142"/>
      <c r="I92" s="1142" t="s">
        <v>831</v>
      </c>
      <c r="J92" s="1142"/>
      <c r="K92" s="1141"/>
      <c r="L92" s="1142"/>
      <c r="M92" s="581"/>
      <c r="N92" s="581"/>
      <c r="O92" s="10"/>
      <c r="P92" s="9"/>
    </row>
    <row r="93" spans="1:16" ht="16.5" hidden="1" customHeight="1" thickBot="1" x14ac:dyDescent="0.3">
      <c r="A93" s="14"/>
      <c r="B93" s="1141" t="s">
        <v>832</v>
      </c>
      <c r="C93" s="1142"/>
      <c r="D93" s="1142"/>
      <c r="E93" s="1142"/>
      <c r="F93" s="1140"/>
      <c r="G93" s="1141"/>
      <c r="H93" s="1142"/>
      <c r="I93" s="1142" t="s">
        <v>2168</v>
      </c>
      <c r="J93" s="1142"/>
      <c r="K93" s="1141"/>
      <c r="L93" s="1142"/>
      <c r="M93" s="581"/>
      <c r="N93" s="581"/>
      <c r="O93" s="10"/>
      <c r="P93" s="9"/>
    </row>
    <row r="94" spans="1:16" ht="16.5" hidden="1" customHeight="1" thickBot="1" x14ac:dyDescent="0.3">
      <c r="A94" s="14"/>
      <c r="B94" s="1141" t="s">
        <v>833</v>
      </c>
      <c r="C94" s="1142"/>
      <c r="D94" s="1142"/>
      <c r="E94" s="1142"/>
      <c r="F94" s="1140"/>
      <c r="G94" s="1141"/>
      <c r="H94" s="1142"/>
      <c r="I94" s="1142" t="s">
        <v>2169</v>
      </c>
      <c r="J94" s="1142"/>
      <c r="K94" s="1141"/>
      <c r="L94" s="1142"/>
      <c r="M94" s="581"/>
      <c r="N94" s="581"/>
      <c r="O94" s="10"/>
      <c r="P94" s="9"/>
    </row>
    <row r="95" spans="1:16" ht="16.5" hidden="1" customHeight="1" thickBot="1" x14ac:dyDescent="0.3">
      <c r="A95" s="14"/>
      <c r="B95" s="1141" t="s">
        <v>2170</v>
      </c>
      <c r="C95" s="1142"/>
      <c r="D95" s="1142"/>
      <c r="E95" s="1142"/>
      <c r="F95" s="1140"/>
      <c r="G95" s="1142"/>
      <c r="H95" s="1142"/>
      <c r="I95" s="1142" t="s">
        <v>2171</v>
      </c>
      <c r="J95" s="1142"/>
      <c r="K95" s="1141"/>
      <c r="L95" s="1142"/>
      <c r="M95" s="581"/>
      <c r="N95" s="581"/>
      <c r="O95" s="10"/>
      <c r="P95" s="9"/>
    </row>
    <row r="96" spans="1:16" ht="16.5" hidden="1" customHeight="1" thickBot="1" x14ac:dyDescent="0.3">
      <c r="A96" s="14"/>
      <c r="B96" s="1141" t="s">
        <v>2172</v>
      </c>
      <c r="C96" s="1142"/>
      <c r="D96" s="1142"/>
      <c r="E96" s="1142"/>
      <c r="F96" s="1140"/>
      <c r="G96" s="1142"/>
      <c r="H96" s="1142"/>
      <c r="I96" s="1142" t="s">
        <v>834</v>
      </c>
      <c r="J96" s="1142"/>
      <c r="K96" s="1141"/>
      <c r="L96" s="1142"/>
      <c r="M96" s="581"/>
      <c r="N96" s="581"/>
      <c r="O96" s="10"/>
      <c r="P96" s="9"/>
    </row>
    <row r="97" spans="1:16" ht="16.5" hidden="1" customHeight="1" thickBot="1" x14ac:dyDescent="0.3">
      <c r="A97" s="14"/>
      <c r="B97" s="1141" t="s">
        <v>2173</v>
      </c>
      <c r="C97" s="1142"/>
      <c r="D97" s="1142"/>
      <c r="E97" s="1142"/>
      <c r="F97" s="1140"/>
      <c r="G97" s="1142"/>
      <c r="H97" s="1142"/>
      <c r="I97" s="1142" t="s">
        <v>2174</v>
      </c>
      <c r="J97" s="1142"/>
      <c r="K97" s="1141"/>
      <c r="L97" s="1142"/>
      <c r="M97" s="581"/>
      <c r="N97" s="581"/>
      <c r="O97" s="10"/>
      <c r="P97" s="9"/>
    </row>
    <row r="98" spans="1:16" ht="16.5" hidden="1" customHeight="1" thickBot="1" x14ac:dyDescent="0.3">
      <c r="A98" s="14"/>
      <c r="B98" s="1141" t="s">
        <v>2175</v>
      </c>
      <c r="C98" s="1142"/>
      <c r="D98" s="1142"/>
      <c r="E98" s="1142"/>
      <c r="F98" s="1140"/>
      <c r="G98" s="1142"/>
      <c r="H98" s="1142"/>
      <c r="I98" s="1142" t="s">
        <v>835</v>
      </c>
      <c r="J98" s="1142"/>
      <c r="K98" s="1141"/>
      <c r="L98" s="1142"/>
      <c r="M98" s="581"/>
      <c r="N98" s="581"/>
      <c r="O98" s="10"/>
      <c r="P98" s="9"/>
    </row>
    <row r="99" spans="1:16" ht="16.5" hidden="1" customHeight="1" x14ac:dyDescent="0.25">
      <c r="A99" s="14"/>
      <c r="B99" s="1141" t="s">
        <v>2176</v>
      </c>
      <c r="C99" s="1142"/>
      <c r="D99" s="1142"/>
      <c r="E99" s="1142"/>
      <c r="F99" s="1140"/>
      <c r="G99" s="1142"/>
      <c r="H99" s="1142"/>
      <c r="I99" s="1142" t="s">
        <v>1841</v>
      </c>
      <c r="J99" s="1142"/>
      <c r="K99" s="1141"/>
      <c r="L99" s="1142"/>
      <c r="M99" s="10"/>
      <c r="N99" s="10"/>
      <c r="O99" s="10"/>
      <c r="P99" s="9"/>
    </row>
    <row r="100" spans="1:16" ht="16.5" hidden="1" customHeight="1" x14ac:dyDescent="0.25">
      <c r="A100" s="14"/>
      <c r="B100" s="1141" t="s">
        <v>2177</v>
      </c>
      <c r="C100" s="1142"/>
      <c r="D100" s="1142"/>
      <c r="E100" s="1142"/>
      <c r="F100" s="1140"/>
      <c r="G100" s="1142"/>
      <c r="H100" s="1142"/>
      <c r="I100" s="1142" t="s">
        <v>2178</v>
      </c>
      <c r="J100" s="1142"/>
      <c r="K100" s="1141"/>
      <c r="L100" s="1142"/>
      <c r="M100" s="10"/>
      <c r="N100" s="10"/>
      <c r="O100" s="10"/>
      <c r="P100" s="9"/>
    </row>
    <row r="101" spans="1:16" ht="16.5" hidden="1" customHeight="1" x14ac:dyDescent="0.25">
      <c r="A101" s="14"/>
      <c r="B101" s="1141" t="s">
        <v>836</v>
      </c>
      <c r="C101" s="1142"/>
      <c r="D101" s="1142"/>
      <c r="E101" s="1142"/>
      <c r="F101" s="1140"/>
      <c r="G101" s="1142"/>
      <c r="H101" s="1142"/>
      <c r="I101" s="1142" t="s">
        <v>2179</v>
      </c>
      <c r="J101" s="1194"/>
      <c r="K101" s="1194"/>
      <c r="L101" s="1194"/>
      <c r="M101" s="10"/>
      <c r="N101" s="10"/>
      <c r="O101" s="10"/>
      <c r="P101" s="9"/>
    </row>
    <row r="102" spans="1:16" ht="16.5" hidden="1" customHeight="1" x14ac:dyDescent="0.25">
      <c r="A102" s="14"/>
      <c r="B102" s="1141" t="s">
        <v>2180</v>
      </c>
      <c r="C102" s="1142"/>
      <c r="D102" s="1142"/>
      <c r="E102" s="1142"/>
      <c r="F102" s="1140"/>
      <c r="G102" s="1142"/>
      <c r="H102" s="1142"/>
      <c r="I102" s="1142" t="s">
        <v>2181</v>
      </c>
      <c r="J102" s="1142"/>
      <c r="K102" s="1141"/>
      <c r="L102" s="1142"/>
      <c r="M102" s="10"/>
      <c r="N102" s="10"/>
      <c r="O102" s="10"/>
      <c r="P102" s="9"/>
    </row>
    <row r="103" spans="1:16" ht="16.5" hidden="1" customHeight="1" x14ac:dyDescent="0.25">
      <c r="A103" s="14"/>
      <c r="B103" s="1141" t="s">
        <v>2182</v>
      </c>
      <c r="C103" s="1142"/>
      <c r="D103" s="1142"/>
      <c r="E103" s="1142"/>
      <c r="F103" s="1140"/>
      <c r="G103" s="1142"/>
      <c r="H103" s="1142"/>
      <c r="I103" s="1142" t="s">
        <v>2183</v>
      </c>
      <c r="J103" s="10"/>
      <c r="K103" s="10"/>
      <c r="L103" s="10"/>
      <c r="M103" s="10"/>
      <c r="N103" s="10"/>
      <c r="O103" s="10"/>
      <c r="P103" s="9"/>
    </row>
    <row r="104" spans="1:16" ht="16.5" hidden="1" customHeight="1" x14ac:dyDescent="0.25">
      <c r="A104" s="14"/>
      <c r="B104" s="1141" t="s">
        <v>2184</v>
      </c>
      <c r="C104" s="1142"/>
      <c r="D104" s="1142"/>
      <c r="E104" s="1142"/>
      <c r="F104" s="1140"/>
      <c r="G104" s="1142"/>
      <c r="H104" s="1142"/>
      <c r="I104" s="1142" t="s">
        <v>2185</v>
      </c>
      <c r="J104" s="1194"/>
      <c r="K104" s="1194"/>
      <c r="L104" s="1194"/>
      <c r="M104" s="10"/>
      <c r="N104" s="10"/>
      <c r="O104" s="10"/>
      <c r="P104" s="9"/>
    </row>
    <row r="105" spans="1:16" ht="16.5" hidden="1" customHeight="1" thickBot="1" x14ac:dyDescent="0.3">
      <c r="A105" s="14"/>
      <c r="B105" s="1141" t="s">
        <v>2186</v>
      </c>
      <c r="C105" s="1142"/>
      <c r="D105" s="1142"/>
      <c r="E105" s="1142"/>
      <c r="F105" s="1140"/>
      <c r="G105" s="1142"/>
      <c r="H105" s="1142"/>
      <c r="I105" s="1142"/>
      <c r="J105" s="1142"/>
      <c r="K105" s="1141"/>
      <c r="L105" s="1142"/>
      <c r="M105" s="10"/>
      <c r="N105" s="10"/>
      <c r="O105" s="10"/>
      <c r="P105" s="9"/>
    </row>
    <row r="106" spans="1:16" ht="12" hidden="1" customHeight="1" thickBot="1" x14ac:dyDescent="0.3">
      <c r="A106" s="14"/>
      <c r="B106" s="14"/>
      <c r="C106" s="14"/>
      <c r="D106" s="14"/>
      <c r="E106" s="14"/>
      <c r="F106" s="14"/>
      <c r="G106" s="1142"/>
      <c r="H106" s="1142"/>
      <c r="I106" s="14"/>
      <c r="J106" s="14"/>
      <c r="K106" s="14"/>
      <c r="L106" s="581"/>
      <c r="M106" s="581"/>
      <c r="N106" s="581"/>
      <c r="O106" s="10"/>
      <c r="P106" s="9"/>
    </row>
    <row r="107" spans="1:16" ht="12" hidden="1" customHeight="1" thickBot="1" x14ac:dyDescent="0.3">
      <c r="A107" s="14"/>
      <c r="B107" s="14"/>
      <c r="C107" s="14"/>
      <c r="D107" s="14"/>
      <c r="E107" s="14"/>
      <c r="F107" s="14"/>
      <c r="G107" s="14"/>
      <c r="H107" s="14"/>
      <c r="I107" s="14"/>
      <c r="J107" s="14"/>
      <c r="K107" s="14"/>
      <c r="L107" s="581"/>
      <c r="M107" s="581"/>
      <c r="N107" s="581"/>
      <c r="O107" s="10"/>
      <c r="P107" s="9"/>
    </row>
    <row r="108" spans="1:16" ht="15" hidden="1" customHeight="1" x14ac:dyDescent="0.25"/>
    <row r="109" spans="1:16" ht="15" hidden="1" customHeight="1" x14ac:dyDescent="0.25"/>
    <row r="110" spans="1:16" ht="15" hidden="1" customHeight="1" x14ac:dyDescent="0.25"/>
    <row r="111" spans="1:16" ht="15" hidden="1" customHeight="1" x14ac:dyDescent="0.25"/>
    <row r="112" spans="1:16"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sheetData>
  <sheetProtection algorithmName="SHA-512" hashValue="dRo3A6ubS/RW5VDaBFbrUMEIg8x4nRiz1Kdo5gxu9izkTRCZBnShUFlYw0DKyEtdvTUdxpZ2cOQJh2hMG0SLJA==" saltValue="vNN/dnjc9yvHts1oPyJjQw==" spinCount="100000" sheet="1" objects="1" scenarios="1" formatRows="0" selectLockedCells="1"/>
  <mergeCells count="13">
    <mergeCell ref="B79:B80"/>
    <mergeCell ref="B26:N26"/>
    <mergeCell ref="A1:O1"/>
    <mergeCell ref="A3:D3"/>
    <mergeCell ref="B5:N5"/>
    <mergeCell ref="B6:N6"/>
    <mergeCell ref="B7:N7"/>
    <mergeCell ref="B8:N8"/>
    <mergeCell ref="B9:N9"/>
    <mergeCell ref="A11:D11"/>
    <mergeCell ref="B20:N20"/>
    <mergeCell ref="B22:N22"/>
    <mergeCell ref="A24:D24"/>
  </mergeCells>
  <hyperlinks>
    <hyperlink ref="B103:E103" r:id="rId1" display="PALM Landscape" xr:uid="{00000000-0004-0000-0200-00000E000000}"/>
    <hyperlink ref="B101:E101" r:id="rId2" display="NAMA Consulting Architecture Construction Investment., JSC." xr:uid="{00000000-0004-0000-0200-000010000000}"/>
  </hyperlinks>
  <pageMargins left="0.7" right="0.7" top="0.75" bottom="0.75" header="0.3" footer="0.3"/>
  <pageSetup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rgb="FF943634"/>
  </sheetPr>
  <dimension ref="A1:R64"/>
  <sheetViews>
    <sheetView showGridLines="0" showRowColHeaders="0" zoomScale="90" zoomScaleNormal="90" workbookViewId="0">
      <selection activeCell="E7" sqref="E7:F7"/>
    </sheetView>
  </sheetViews>
  <sheetFormatPr defaultColWidth="0" defaultRowHeight="0" customHeight="1" zeroHeight="1" x14ac:dyDescent="0.25"/>
  <cols>
    <col min="1" max="1" width="5.7109375" customWidth="1"/>
    <col min="2" max="2" width="31.7109375" customWidth="1"/>
    <col min="3" max="3" width="3.7109375" customWidth="1"/>
    <col min="4" max="4" width="11.140625" customWidth="1"/>
    <col min="5" max="5" width="20.5703125" customWidth="1"/>
    <col min="6" max="6" width="23" customWidth="1"/>
    <col min="7" max="8" width="19.7109375" customWidth="1"/>
    <col min="9" max="9" width="10.42578125" customWidth="1"/>
    <col min="10" max="10" width="8" customWidth="1"/>
    <col min="11" max="11" width="5.5703125" customWidth="1"/>
    <col min="12" max="12" width="5" customWidth="1"/>
    <col min="13" max="18" width="0" hidden="1" customWidth="1"/>
    <col min="19" max="16384" width="9.140625" hidden="1"/>
  </cols>
  <sheetData>
    <row r="1" spans="1:12" ht="16.5" customHeight="1" x14ac:dyDescent="0.25">
      <c r="A1" s="244"/>
      <c r="B1" s="2094" t="s">
        <v>1</v>
      </c>
      <c r="C1" s="245"/>
      <c r="D1" s="182"/>
      <c r="E1" s="182"/>
      <c r="F1" s="182"/>
      <c r="G1" s="182"/>
      <c r="H1" s="182"/>
      <c r="I1" s="179"/>
      <c r="J1" s="179"/>
      <c r="K1" s="179"/>
      <c r="L1" s="180"/>
    </row>
    <row r="2" spans="1:12" ht="14.25" customHeight="1" x14ac:dyDescent="0.25">
      <c r="A2" s="246"/>
      <c r="B2" s="2095"/>
      <c r="C2" s="247"/>
      <c r="D2" s="182"/>
      <c r="E2" s="182"/>
      <c r="F2" s="182"/>
      <c r="G2" s="182"/>
      <c r="H2" s="182"/>
      <c r="I2" s="182"/>
      <c r="J2" s="182"/>
      <c r="K2" s="182"/>
      <c r="L2" s="183"/>
    </row>
    <row r="3" spans="1:12" ht="15.75" customHeight="1" x14ac:dyDescent="0.25">
      <c r="A3" s="246"/>
      <c r="B3" s="2095"/>
      <c r="C3" s="248"/>
      <c r="D3" s="181"/>
      <c r="E3" s="182"/>
      <c r="F3" s="182"/>
      <c r="G3" s="182"/>
      <c r="H3" s="182"/>
      <c r="I3" s="182"/>
      <c r="J3" s="182"/>
      <c r="K3" s="182"/>
      <c r="L3" s="183"/>
    </row>
    <row r="4" spans="1:12" ht="15.75" customHeight="1" x14ac:dyDescent="0.25">
      <c r="A4" s="246"/>
      <c r="B4" s="2095"/>
      <c r="C4" s="249"/>
      <c r="D4" s="181"/>
      <c r="E4" s="182"/>
      <c r="F4" s="182"/>
      <c r="G4" s="182"/>
      <c r="H4" s="182"/>
      <c r="I4" s="182"/>
      <c r="J4" s="182"/>
      <c r="K4" s="182"/>
      <c r="L4" s="183"/>
    </row>
    <row r="5" spans="1:12" ht="19.5" customHeight="1" x14ac:dyDescent="0.25">
      <c r="A5" s="246"/>
      <c r="B5" s="2095"/>
      <c r="C5" s="249"/>
      <c r="D5" s="181"/>
      <c r="E5" s="2098" t="s">
        <v>118</v>
      </c>
      <c r="F5" s="2099"/>
      <c r="G5" s="2096" t="s">
        <v>119</v>
      </c>
      <c r="H5" s="2096" t="s">
        <v>16</v>
      </c>
      <c r="I5" s="182"/>
      <c r="J5" s="182"/>
      <c r="K5" s="182"/>
      <c r="L5" s="183"/>
    </row>
    <row r="6" spans="1:12" ht="15.75" customHeight="1" x14ac:dyDescent="0.25">
      <c r="A6" s="246"/>
      <c r="B6" s="2093" t="s">
        <v>1331</v>
      </c>
      <c r="C6" s="249"/>
      <c r="D6" s="181"/>
      <c r="E6" s="2100"/>
      <c r="F6" s="2101"/>
      <c r="G6" s="2096"/>
      <c r="H6" s="2096"/>
      <c r="I6" s="182"/>
      <c r="J6" s="182"/>
      <c r="K6" s="182"/>
      <c r="L6" s="183"/>
    </row>
    <row r="7" spans="1:12" ht="21" customHeight="1" x14ac:dyDescent="0.25">
      <c r="A7" s="250"/>
      <c r="B7" s="2093"/>
      <c r="C7" s="249"/>
      <c r="D7" s="181"/>
      <c r="E7" s="2097" t="s">
        <v>2</v>
      </c>
      <c r="F7" s="2097"/>
      <c r="G7" s="96">
        <v>1</v>
      </c>
      <c r="H7" s="96">
        <f>'H-1 Fresh Air Supply'!G12</f>
        <v>0</v>
      </c>
      <c r="I7" s="182"/>
      <c r="J7" s="182"/>
      <c r="K7" s="182"/>
      <c r="L7" s="183"/>
    </row>
    <row r="8" spans="1:12" ht="21" customHeight="1" x14ac:dyDescent="0.25">
      <c r="A8" s="250"/>
      <c r="B8" s="2093"/>
      <c r="C8" s="249"/>
      <c r="D8" s="181"/>
      <c r="E8" s="2097" t="s">
        <v>2041</v>
      </c>
      <c r="F8" s="2097"/>
      <c r="G8" s="96">
        <v>4</v>
      </c>
      <c r="H8" s="96">
        <f>'H-2 Low-VOC Emissions '!G17</f>
        <v>0</v>
      </c>
      <c r="I8" s="182"/>
      <c r="J8" s="182"/>
      <c r="K8" s="182"/>
      <c r="L8" s="183"/>
    </row>
    <row r="9" spans="1:12" ht="21" customHeight="1" x14ac:dyDescent="0.25">
      <c r="A9" s="250"/>
      <c r="B9" s="2093"/>
      <c r="C9" s="249"/>
      <c r="D9" s="181"/>
      <c r="E9" s="2097" t="s">
        <v>1687</v>
      </c>
      <c r="F9" s="2097"/>
      <c r="G9" s="96">
        <v>1</v>
      </c>
      <c r="H9" s="96">
        <f>'H-3 Interior Plants'!G12</f>
        <v>0</v>
      </c>
      <c r="I9" s="182"/>
      <c r="J9" s="182"/>
      <c r="K9" s="182"/>
      <c r="L9" s="183"/>
    </row>
    <row r="10" spans="1:12" ht="21" customHeight="1" x14ac:dyDescent="0.25">
      <c r="A10" s="250"/>
      <c r="B10" s="2093"/>
      <c r="C10" s="249"/>
      <c r="D10" s="181"/>
      <c r="E10" s="2097" t="s">
        <v>1688</v>
      </c>
      <c r="F10" s="2097"/>
      <c r="G10" s="96">
        <v>1</v>
      </c>
      <c r="H10" s="96">
        <f>'H-4 Green Cleaning'!G12</f>
        <v>0</v>
      </c>
      <c r="I10" s="182"/>
      <c r="J10" s="182"/>
      <c r="K10" s="182"/>
      <c r="L10" s="183"/>
    </row>
    <row r="11" spans="1:12" ht="21" customHeight="1" x14ac:dyDescent="0.25">
      <c r="A11" s="250"/>
      <c r="B11" s="2093"/>
      <c r="C11" s="249"/>
      <c r="D11" s="181"/>
      <c r="E11" s="2097" t="s">
        <v>1689</v>
      </c>
      <c r="F11" s="2097"/>
      <c r="G11" s="96">
        <v>2</v>
      </c>
      <c r="H11" s="96">
        <f>IF(AND('H-5 Daylighting'!K17="/",'H-5 Daylighting'!K14="/"),0,IF('H-5 Daylighting'!E11="Prescriptive Path",'H-5 Daylighting'!K14,IF('H-5 Daylighting'!E11="Performance Path",'H-5 Daylighting'!K17,0)))</f>
        <v>0</v>
      </c>
      <c r="I11" s="182"/>
      <c r="J11" s="182"/>
      <c r="K11" s="182"/>
      <c r="L11" s="183"/>
    </row>
    <row r="12" spans="1:12" ht="21" customHeight="1" x14ac:dyDescent="0.25">
      <c r="A12" s="250"/>
      <c r="B12" s="2093"/>
      <c r="C12" s="249"/>
      <c r="D12" s="181"/>
      <c r="E12" s="2097" t="s">
        <v>1690</v>
      </c>
      <c r="F12" s="2097"/>
      <c r="G12" s="96">
        <v>2</v>
      </c>
      <c r="H12" s="96">
        <f>'H-6 External Views'!H14</f>
        <v>0</v>
      </c>
      <c r="I12" s="182"/>
      <c r="J12" s="182"/>
      <c r="K12" s="182"/>
      <c r="L12" s="183"/>
    </row>
    <row r="13" spans="1:12" ht="21" customHeight="1" x14ac:dyDescent="0.25">
      <c r="A13" s="250"/>
      <c r="B13" s="2093"/>
      <c r="C13" s="249"/>
      <c r="D13" s="181"/>
      <c r="E13" s="2097" t="s">
        <v>1691</v>
      </c>
      <c r="F13" s="2097"/>
      <c r="G13" s="96">
        <v>1</v>
      </c>
      <c r="H13" s="96">
        <f>'H-7 Thermal Comfort'!G12</f>
        <v>0</v>
      </c>
      <c r="I13" s="182"/>
      <c r="J13" s="182"/>
      <c r="K13" s="182"/>
      <c r="L13" s="183"/>
    </row>
    <row r="14" spans="1:12" ht="21" customHeight="1" x14ac:dyDescent="0.25">
      <c r="A14" s="250"/>
      <c r="B14" s="2093"/>
      <c r="C14" s="249"/>
      <c r="D14" s="181"/>
      <c r="E14" s="2097" t="s">
        <v>120</v>
      </c>
      <c r="F14" s="2097"/>
      <c r="G14" s="96">
        <v>5</v>
      </c>
      <c r="H14" s="96">
        <f>'H&amp;C BPC'!H22</f>
        <v>0</v>
      </c>
      <c r="I14" s="182"/>
      <c r="J14" s="182"/>
      <c r="K14" s="182"/>
      <c r="L14" s="182"/>
    </row>
    <row r="15" spans="1:12" ht="24" customHeight="1" x14ac:dyDescent="0.25">
      <c r="A15" s="250"/>
      <c r="B15" s="801"/>
      <c r="C15" s="249"/>
      <c r="D15" s="181"/>
      <c r="E15" s="84" t="s">
        <v>25</v>
      </c>
      <c r="F15" s="85"/>
      <c r="G15" s="86">
        <f>SUM(G7:G14)</f>
        <v>17</v>
      </c>
      <c r="H15" s="86">
        <f>SUM(H7:H14)</f>
        <v>0</v>
      </c>
      <c r="I15" s="182"/>
      <c r="J15" s="182"/>
      <c r="K15" s="182"/>
      <c r="L15" s="182"/>
    </row>
    <row r="16" spans="1:12" ht="24" customHeight="1" x14ac:dyDescent="0.25">
      <c r="A16" s="250"/>
      <c r="B16" s="253"/>
      <c r="C16" s="249"/>
      <c r="D16" s="182"/>
      <c r="E16" s="182"/>
      <c r="F16" s="182"/>
      <c r="G16" s="182"/>
      <c r="H16" s="182"/>
      <c r="I16" s="182"/>
      <c r="J16" s="182"/>
      <c r="K16" s="182"/>
      <c r="L16" s="182"/>
    </row>
    <row r="17" spans="1:12" ht="15.75" customHeight="1" x14ac:dyDescent="0.25">
      <c r="A17" s="250"/>
      <c r="B17" s="253"/>
      <c r="C17" s="249"/>
      <c r="D17" s="182"/>
      <c r="E17" s="182"/>
      <c r="F17" s="182"/>
      <c r="G17" s="182"/>
      <c r="H17" s="182"/>
      <c r="I17" s="182"/>
      <c r="J17" s="182"/>
      <c r="K17" s="182"/>
      <c r="L17" s="182"/>
    </row>
    <row r="18" spans="1:12" ht="15" hidden="1" customHeight="1" x14ac:dyDescent="0.25">
      <c r="A18" s="251"/>
      <c r="B18" s="254"/>
      <c r="C18" s="252"/>
      <c r="D18" s="181"/>
      <c r="E18" s="182"/>
      <c r="F18" s="182"/>
      <c r="G18" s="182"/>
      <c r="H18" s="182"/>
      <c r="I18" s="182"/>
      <c r="J18" s="182"/>
      <c r="K18" s="182"/>
      <c r="L18" s="182"/>
    </row>
    <row r="19" spans="1:12" ht="15" hidden="1" customHeight="1" x14ac:dyDescent="0.25">
      <c r="A19" s="250"/>
      <c r="B19" s="253"/>
      <c r="C19" s="249"/>
      <c r="D19" s="181"/>
      <c r="E19" s="182"/>
      <c r="F19" s="182"/>
      <c r="G19" s="182"/>
      <c r="H19" s="182"/>
      <c r="I19" s="182"/>
      <c r="J19" s="1"/>
      <c r="K19" s="1"/>
      <c r="L19" s="1"/>
    </row>
    <row r="20" spans="1:12" ht="15" hidden="1" customHeight="1" x14ac:dyDescent="0.25">
      <c r="A20" s="250"/>
      <c r="B20" s="253"/>
      <c r="C20" s="249"/>
      <c r="D20" s="181"/>
      <c r="E20" s="182"/>
      <c r="F20" s="182"/>
      <c r="G20" s="182"/>
      <c r="H20" s="182"/>
      <c r="I20" s="182"/>
      <c r="J20" s="1"/>
      <c r="K20" s="1"/>
      <c r="L20" s="1"/>
    </row>
    <row r="21" spans="1:12" ht="15" hidden="1" customHeight="1" x14ac:dyDescent="0.25">
      <c r="A21" s="250"/>
      <c r="B21" s="253"/>
      <c r="C21" s="249"/>
      <c r="D21" s="1"/>
      <c r="E21" s="185"/>
      <c r="F21" s="185"/>
      <c r="G21" s="185"/>
      <c r="H21" s="185"/>
      <c r="I21" s="1"/>
      <c r="J21" s="1"/>
      <c r="K21" s="1"/>
      <c r="L21" s="1"/>
    </row>
    <row r="22" spans="1:12" ht="15" hidden="1" customHeight="1" x14ac:dyDescent="0.25">
      <c r="A22" s="251"/>
      <c r="B22" s="254"/>
      <c r="C22" s="25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A47" s="1"/>
      <c r="B47" s="2"/>
      <c r="C47" s="2"/>
      <c r="D47" s="1"/>
      <c r="E47" s="1"/>
      <c r="F47" s="1"/>
      <c r="G47" s="1"/>
      <c r="H47" s="1"/>
      <c r="I47" s="1"/>
      <c r="J47" s="1"/>
      <c r="K47" s="1"/>
      <c r="L47" s="1"/>
    </row>
    <row r="48" spans="1:12" ht="15" hidden="1" customHeight="1" x14ac:dyDescent="0.25">
      <c r="A48" s="1"/>
      <c r="B48" s="2"/>
      <c r="C48" s="2"/>
      <c r="D48" s="1"/>
      <c r="E48" s="1"/>
      <c r="F48" s="1"/>
      <c r="G48" s="1"/>
      <c r="H48" s="1"/>
      <c r="I48" s="1"/>
      <c r="J48" s="1"/>
      <c r="K48" s="1"/>
      <c r="L48" s="1"/>
    </row>
    <row r="49" spans="4:9" ht="15" hidden="1" customHeight="1" x14ac:dyDescent="0.25">
      <c r="D49" s="1"/>
      <c r="E49" s="1"/>
      <c r="F49" s="1"/>
      <c r="G49" s="1"/>
      <c r="H49" s="1"/>
      <c r="I49" s="1"/>
    </row>
    <row r="50" spans="4:9" ht="15" hidden="1" customHeight="1" x14ac:dyDescent="0.25">
      <c r="D50" s="1"/>
      <c r="E50" s="1"/>
      <c r="F50" s="1"/>
      <c r="G50" s="1"/>
      <c r="H50" s="1"/>
      <c r="I50" s="1"/>
    </row>
    <row r="51" spans="4:9" ht="15" hidden="1" customHeight="1" x14ac:dyDescent="0.25">
      <c r="D51" s="1"/>
      <c r="E51" s="1"/>
      <c r="F51" s="1"/>
      <c r="G51" s="1"/>
      <c r="H51" s="1"/>
      <c r="I51" s="1"/>
    </row>
    <row r="52" spans="4:9" ht="15" hidden="1" customHeight="1" x14ac:dyDescent="0.25">
      <c r="D52" s="1"/>
      <c r="E52" s="1"/>
      <c r="F52" s="1"/>
      <c r="G52" s="1"/>
      <c r="H52" s="1"/>
    </row>
    <row r="53" spans="4:9" ht="15" hidden="1" customHeight="1" x14ac:dyDescent="0.25">
      <c r="D53" s="1"/>
    </row>
    <row r="54" spans="4:9" ht="15" hidden="1" customHeight="1" x14ac:dyDescent="0.25">
      <c r="D54" s="1"/>
    </row>
    <row r="55" spans="4:9" ht="15" hidden="1" customHeight="1" x14ac:dyDescent="0.25"/>
    <row r="56" spans="4:9" ht="15" hidden="1" customHeight="1" x14ac:dyDescent="0.25"/>
    <row r="57" spans="4:9" ht="15" hidden="1" customHeight="1" x14ac:dyDescent="0.25"/>
    <row r="58" spans="4:9" ht="15" hidden="1" customHeight="1" x14ac:dyDescent="0.25"/>
    <row r="59" spans="4:9" ht="15" hidden="1" customHeight="1" x14ac:dyDescent="0.25"/>
    <row r="60" spans="4:9" ht="0" hidden="1" customHeight="1" x14ac:dyDescent="0.25"/>
    <row r="61" spans="4:9" ht="0" hidden="1" customHeight="1" x14ac:dyDescent="0.25"/>
    <row r="62" spans="4:9" ht="0" hidden="1" customHeight="1" x14ac:dyDescent="0.25"/>
    <row r="63" spans="4:9" ht="0" hidden="1" customHeight="1" x14ac:dyDescent="0.25"/>
    <row r="64" spans="4:9" ht="0" hidden="1" customHeight="1" x14ac:dyDescent="0.25"/>
  </sheetData>
  <sheetProtection algorithmName="SHA-512" hashValue="MirDjkX/X9sd0Rhet70+8R0PK6tsuXPalY7g3+m9gg+eJvdGCrTXmIulMEO6YOX5OUl+3D5j8VUqrFf5G0EEqA==" saltValue="ytLBqjR5XdOXJe8miRTl0A==" spinCount="100000" sheet="1" objects="1" scenarios="1" formatRows="0"/>
  <mergeCells count="13">
    <mergeCell ref="B6:B14"/>
    <mergeCell ref="B1:B5"/>
    <mergeCell ref="H5:H6"/>
    <mergeCell ref="E7:F7"/>
    <mergeCell ref="E8:F8"/>
    <mergeCell ref="E9:F9"/>
    <mergeCell ref="E14:F14"/>
    <mergeCell ref="E5:F6"/>
    <mergeCell ref="G5:G6"/>
    <mergeCell ref="E10:F10"/>
    <mergeCell ref="E11:F11"/>
    <mergeCell ref="E12:F12"/>
    <mergeCell ref="E13:F13"/>
  </mergeCells>
  <hyperlinks>
    <hyperlink ref="E7" location="'H-1 Fresh Air Supply'!A1" tooltip="H-1 Fresh Air Supply" display="H-1 Fresh Air Supply" xr:uid="{00000000-0004-0000-1F00-000000000000}"/>
    <hyperlink ref="E8" location="'H-3 Hazardous Materials'!A1" tooltip="H-3 Hazardous Materials" display="H-3 Hazardous Materials" xr:uid="{00000000-0004-0000-1F00-000001000000}"/>
    <hyperlink ref="E7:F7" location="'H-1 Fresh Air Supply'!B3" tooltip="H-1 Fresh Air Supply" display="H-1 Fresh Air Supply" xr:uid="{00000000-0004-0000-1F00-000002000000}"/>
    <hyperlink ref="E8:F8" location="'H-2 Low-VOC Emissions '!B3" tooltip="H-2 Low-VOC Emissions" display="H-2 Low-VOC Emissions" xr:uid="{00000000-0004-0000-1F00-000003000000}"/>
    <hyperlink ref="E9:F9" location="'H-3 Interior Plants'!B3" tooltip="H-3 Interior Plants" display="H-3 Interior Plants" xr:uid="{00000000-0004-0000-1F00-000004000000}"/>
    <hyperlink ref="E10:F10" location="'H-4 Green Cleaning'!B3" tooltip="H-4 Green Cleaning" display="H-4 Green Cleaning" xr:uid="{00000000-0004-0000-1F00-000005000000}"/>
    <hyperlink ref="E11" location="'H-4 Daylighting'!A1" tooltip="H-4 Daylighting" display="H-4 Daylighting" xr:uid="{00000000-0004-0000-1F00-000006000000}"/>
    <hyperlink ref="E11:F11" location="'H-5 Daylighting'!B3" tooltip="H-5 Daylighting" display="H-5 Daylighting" xr:uid="{00000000-0004-0000-1F00-000007000000}"/>
    <hyperlink ref="E12" location="'H-4 Daylighting'!A1" tooltip="H-4 Daylighting" display="H-4 Daylighting" xr:uid="{00000000-0004-0000-1F00-000008000000}"/>
    <hyperlink ref="E12:F12" location="'H-6 External Views'!B3" tooltip="H-6 External Views" display="H-6 External Views" xr:uid="{00000000-0004-0000-1F00-000009000000}"/>
    <hyperlink ref="E13:F13" location="'H-7 Thermal Comfort'!B2" tooltip="H-10 Thermal Comfort" display="H-7 Thermal Comfort" xr:uid="{00000000-0004-0000-1F00-00000A000000}"/>
    <hyperlink ref="E14:F14" location="'H&amp;C BPC'!B3" tooltip="Best Practice Credits" display="Best Practice Credits" xr:uid="{00000000-0004-0000-1F00-00000B000000}"/>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rgb="FF943634"/>
  </sheetPr>
  <dimension ref="A1:N159"/>
  <sheetViews>
    <sheetView showRowColHeaders="0" zoomScaleNormal="100" workbookViewId="0">
      <pane ySplit="8" topLeftCell="A9" activePane="bottomLeft" state="frozen"/>
      <selection pane="bottomLeft" activeCell="A5" sqref="A5:L7"/>
    </sheetView>
  </sheetViews>
  <sheetFormatPr defaultColWidth="0" defaultRowHeight="15" customHeight="1" zeroHeight="1" x14ac:dyDescent="0.25"/>
  <cols>
    <col min="1" max="1" width="4.7109375" style="35" customWidth="1"/>
    <col min="2" max="3" width="20.85546875" style="35" customWidth="1"/>
    <col min="4" max="4" width="17.7109375" style="35" customWidth="1"/>
    <col min="5" max="5" width="22.42578125" style="35" customWidth="1"/>
    <col min="6" max="8" width="17.85546875" style="35" customWidth="1"/>
    <col min="9" max="9" width="17.5703125" style="35" customWidth="1"/>
    <col min="10" max="12" width="8.7109375" style="35" customWidth="1"/>
    <col min="13" max="14" width="0" style="35" hidden="1" customWidth="1"/>
    <col min="15" max="16384" width="9.140625" style="35" hidden="1"/>
  </cols>
  <sheetData>
    <row r="1" spans="1:13" ht="25.5" customHeight="1" x14ac:dyDescent="0.25">
      <c r="A1" s="2110" t="s">
        <v>2</v>
      </c>
      <c r="B1" s="2110"/>
      <c r="C1" s="2110"/>
      <c r="D1" s="2110"/>
      <c r="E1" s="2110"/>
      <c r="F1" s="2110"/>
      <c r="G1" s="2110"/>
      <c r="H1" s="2110"/>
      <c r="I1" s="2110"/>
      <c r="J1" s="2110"/>
      <c r="K1" s="2110"/>
      <c r="L1" s="2110"/>
    </row>
    <row r="2" spans="1:13" ht="15" customHeight="1" x14ac:dyDescent="0.25">
      <c r="A2" s="45"/>
      <c r="B2" s="46"/>
      <c r="C2" s="46"/>
      <c r="D2" s="46"/>
      <c r="E2" s="46"/>
      <c r="F2" s="45"/>
      <c r="G2" s="45"/>
      <c r="H2" s="1753" t="s">
        <v>1264</v>
      </c>
      <c r="I2" s="1753"/>
      <c r="J2" s="588" t="s">
        <v>28</v>
      </c>
      <c r="K2" s="588" t="s">
        <v>205</v>
      </c>
      <c r="L2" s="588"/>
    </row>
    <row r="3" spans="1:13" ht="15" customHeight="1" x14ac:dyDescent="0.25">
      <c r="A3" s="45"/>
      <c r="B3" s="46"/>
      <c r="C3" s="46"/>
      <c r="D3" s="46"/>
      <c r="E3" s="46"/>
      <c r="F3" s="45"/>
      <c r="G3" s="45"/>
      <c r="H3" s="1753"/>
      <c r="I3" s="1753"/>
      <c r="J3" s="588" t="s">
        <v>31</v>
      </c>
      <c r="K3" s="588" t="s">
        <v>255</v>
      </c>
      <c r="L3" s="588" t="s">
        <v>1686</v>
      </c>
    </row>
    <row r="4" spans="1:13" ht="15" customHeight="1" x14ac:dyDescent="0.25">
      <c r="A4" s="45"/>
      <c r="B4" s="46"/>
      <c r="C4" s="46"/>
      <c r="D4" s="46"/>
      <c r="E4" s="46"/>
      <c r="F4" s="45"/>
      <c r="G4" s="45"/>
      <c r="H4" s="1754"/>
      <c r="I4" s="1754"/>
      <c r="J4" s="588" t="s">
        <v>33</v>
      </c>
      <c r="K4" s="588" t="s">
        <v>256</v>
      </c>
      <c r="L4" s="588"/>
    </row>
    <row r="5" spans="1:13" ht="21" customHeight="1" x14ac:dyDescent="0.25">
      <c r="A5" s="1656" t="s">
        <v>2633</v>
      </c>
      <c r="B5" s="1657"/>
      <c r="C5" s="1657"/>
      <c r="D5" s="1657"/>
      <c r="E5" s="1657"/>
      <c r="F5" s="1657"/>
      <c r="G5" s="1657"/>
      <c r="H5" s="1657"/>
      <c r="I5" s="1657"/>
      <c r="J5" s="1657"/>
      <c r="K5" s="1657"/>
      <c r="L5" s="1657"/>
    </row>
    <row r="6" spans="1:13" ht="21" customHeight="1" x14ac:dyDescent="0.25">
      <c r="A6" s="1659"/>
      <c r="B6" s="1660"/>
      <c r="C6" s="1660"/>
      <c r="D6" s="1660"/>
      <c r="E6" s="1660"/>
      <c r="F6" s="1660"/>
      <c r="G6" s="1660"/>
      <c r="H6" s="1660"/>
      <c r="I6" s="1660"/>
      <c r="J6" s="1660"/>
      <c r="K6" s="1660"/>
      <c r="L6" s="1660"/>
    </row>
    <row r="7" spans="1:13" ht="21" customHeight="1" x14ac:dyDescent="0.25">
      <c r="A7" s="1662"/>
      <c r="B7" s="1663"/>
      <c r="C7" s="1663"/>
      <c r="D7" s="1663"/>
      <c r="E7" s="1663"/>
      <c r="F7" s="1663"/>
      <c r="G7" s="1663"/>
      <c r="H7" s="1663"/>
      <c r="I7" s="1663"/>
      <c r="J7" s="1663"/>
      <c r="K7" s="1663"/>
      <c r="L7" s="1663"/>
    </row>
    <row r="8" spans="1:13" ht="12" customHeight="1" x14ac:dyDescent="0.25">
      <c r="A8" s="45"/>
      <c r="B8" s="46"/>
      <c r="C8" s="46"/>
      <c r="D8" s="46"/>
      <c r="E8" s="46"/>
      <c r="F8" s="45"/>
      <c r="G8" s="45"/>
      <c r="H8" s="45"/>
      <c r="I8" s="45"/>
      <c r="J8" s="45"/>
      <c r="K8" s="45"/>
      <c r="L8" s="45"/>
      <c r="M8" s="45"/>
    </row>
    <row r="9" spans="1:13" ht="18" customHeight="1" x14ac:dyDescent="0.25">
      <c r="A9" s="2107" t="s">
        <v>82</v>
      </c>
      <c r="B9" s="2107"/>
      <c r="C9" s="2107"/>
      <c r="D9" s="2107"/>
      <c r="E9" s="2107"/>
      <c r="F9" s="2107"/>
      <c r="G9" s="2107"/>
      <c r="H9" s="2107"/>
      <c r="I9" s="2107"/>
      <c r="J9" s="2107"/>
      <c r="K9" s="2107"/>
      <c r="L9" s="2107"/>
    </row>
    <row r="10" spans="1:13" x14ac:dyDescent="0.25">
      <c r="A10" s="45"/>
      <c r="B10" s="46"/>
      <c r="C10" s="46"/>
      <c r="D10" s="46"/>
      <c r="E10" s="46"/>
      <c r="F10" s="45"/>
      <c r="G10" s="45"/>
      <c r="H10" s="45"/>
      <c r="I10" s="45"/>
      <c r="J10" s="45"/>
      <c r="K10" s="45"/>
      <c r="L10" s="45"/>
    </row>
    <row r="11" spans="1:13" ht="21" customHeight="1" x14ac:dyDescent="0.25">
      <c r="A11" s="45"/>
      <c r="B11" s="2111" t="s">
        <v>83</v>
      </c>
      <c r="C11" s="2112"/>
      <c r="D11" s="2112"/>
      <c r="E11" s="2112"/>
      <c r="F11" s="541" t="s">
        <v>64</v>
      </c>
      <c r="G11" s="541" t="s">
        <v>16</v>
      </c>
      <c r="H11" s="47" t="s">
        <v>133</v>
      </c>
      <c r="I11" s="45"/>
      <c r="J11" s="45"/>
      <c r="K11" s="45"/>
      <c r="L11" s="45"/>
    </row>
    <row r="12" spans="1:13" ht="19.5" customHeight="1" x14ac:dyDescent="0.25">
      <c r="A12" s="45"/>
      <c r="B12" s="2113" t="s">
        <v>1450</v>
      </c>
      <c r="C12" s="2114"/>
      <c r="D12" s="2114"/>
      <c r="E12" s="2115"/>
      <c r="F12" s="49">
        <v>1</v>
      </c>
      <c r="G12" s="152">
        <f>C110</f>
        <v>0</v>
      </c>
      <c r="H12" s="152" t="str">
        <f>C111</f>
        <v>No</v>
      </c>
      <c r="I12" s="45"/>
      <c r="J12" s="45"/>
      <c r="K12" s="45"/>
      <c r="L12" s="45"/>
    </row>
    <row r="13" spans="1:13" x14ac:dyDescent="0.25">
      <c r="A13" s="45"/>
      <c r="B13" s="46"/>
      <c r="C13" s="46"/>
      <c r="D13" s="46"/>
      <c r="E13" s="46"/>
      <c r="F13" s="45"/>
      <c r="G13" s="45"/>
      <c r="H13" s="45"/>
      <c r="I13" s="45"/>
      <c r="J13" s="45"/>
      <c r="K13" s="45"/>
      <c r="L13" s="45"/>
    </row>
    <row r="14" spans="1:13" ht="18" customHeight="1" x14ac:dyDescent="0.25">
      <c r="A14" s="2107" t="s">
        <v>102</v>
      </c>
      <c r="B14" s="2107"/>
      <c r="C14" s="2107"/>
      <c r="D14" s="2107"/>
      <c r="E14" s="2107"/>
      <c r="F14" s="2107"/>
      <c r="G14" s="2107"/>
      <c r="H14" s="2107"/>
      <c r="I14" s="2107"/>
      <c r="J14" s="2107"/>
      <c r="K14" s="2107"/>
      <c r="L14" s="2107"/>
    </row>
    <row r="15" spans="1:13" x14ac:dyDescent="0.25">
      <c r="A15" s="45"/>
      <c r="B15" s="46"/>
      <c r="C15" s="46"/>
      <c r="D15" s="46"/>
      <c r="E15" s="46"/>
      <c r="F15" s="45"/>
      <c r="G15" s="45"/>
      <c r="H15" s="45"/>
      <c r="I15" s="45"/>
      <c r="J15" s="45"/>
      <c r="K15" s="45"/>
      <c r="L15" s="45"/>
    </row>
    <row r="16" spans="1:13" x14ac:dyDescent="0.25">
      <c r="A16" s="45"/>
      <c r="B16" s="565" t="s">
        <v>873</v>
      </c>
      <c r="C16" s="46"/>
      <c r="D16" s="46"/>
      <c r="E16" s="46"/>
      <c r="F16" s="45"/>
      <c r="G16" s="45"/>
      <c r="H16" s="45"/>
      <c r="I16" s="45"/>
      <c r="J16" s="45"/>
      <c r="K16" s="45"/>
      <c r="L16" s="45"/>
    </row>
    <row r="17" spans="1:12" x14ac:dyDescent="0.25">
      <c r="A17" s="45"/>
      <c r="B17" s="46"/>
      <c r="C17" s="46"/>
      <c r="D17" s="46"/>
      <c r="E17" s="46"/>
      <c r="F17" s="45"/>
      <c r="G17" s="45"/>
      <c r="H17" s="45"/>
      <c r="I17" s="45"/>
      <c r="J17" s="45"/>
      <c r="K17" s="45"/>
      <c r="L17" s="45"/>
    </row>
    <row r="18" spans="1:12" x14ac:dyDescent="0.25">
      <c r="A18" s="45"/>
      <c r="B18" s="46" t="s">
        <v>872</v>
      </c>
      <c r="C18" s="46"/>
      <c r="D18" s="46"/>
      <c r="E18" s="46"/>
      <c r="F18" s="45"/>
      <c r="G18" s="45"/>
      <c r="H18" s="45"/>
      <c r="I18" s="45"/>
      <c r="J18" s="45"/>
      <c r="K18" s="45"/>
      <c r="L18" s="45"/>
    </row>
    <row r="19" spans="1:12" ht="12.75" customHeight="1" x14ac:dyDescent="0.25">
      <c r="A19" s="45"/>
      <c r="B19" s="46"/>
      <c r="C19" s="46"/>
      <c r="D19" s="46"/>
      <c r="E19" s="46"/>
      <c r="F19" s="45"/>
      <c r="G19" s="45"/>
      <c r="H19" s="45"/>
      <c r="I19" s="45"/>
      <c r="J19" s="45"/>
      <c r="K19" s="45"/>
      <c r="L19" s="45"/>
    </row>
    <row r="20" spans="1:12" x14ac:dyDescent="0.25">
      <c r="A20" s="45"/>
      <c r="B20" s="112" t="s">
        <v>232</v>
      </c>
      <c r="C20" s="46"/>
      <c r="D20" s="46"/>
      <c r="E20" s="46"/>
      <c r="F20" s="45"/>
      <c r="G20" s="45"/>
      <c r="H20" s="45"/>
      <c r="I20" s="45"/>
      <c r="J20" s="45"/>
      <c r="K20" s="45"/>
      <c r="L20" s="45"/>
    </row>
    <row r="21" spans="1:12" x14ac:dyDescent="0.25">
      <c r="A21" s="45"/>
      <c r="B21" s="413" t="s">
        <v>1446</v>
      </c>
      <c r="C21" s="46"/>
      <c r="D21" s="46"/>
      <c r="E21" s="46"/>
      <c r="F21" s="45"/>
      <c r="G21" s="45"/>
      <c r="H21" s="45"/>
      <c r="I21" s="45"/>
      <c r="J21" s="45"/>
      <c r="K21" s="45"/>
      <c r="L21" s="45"/>
    </row>
    <row r="22" spans="1:12" ht="64.5" customHeight="1" x14ac:dyDescent="0.25">
      <c r="A22" s="45"/>
      <c r="B22" s="2116" t="s">
        <v>2349</v>
      </c>
      <c r="C22" s="2116"/>
      <c r="D22" s="2116"/>
      <c r="E22" s="2116"/>
      <c r="F22" s="2116"/>
      <c r="G22" s="2116"/>
      <c r="H22" s="2116"/>
      <c r="I22" s="2116"/>
      <c r="J22" s="2116"/>
      <c r="K22" s="45"/>
      <c r="L22" s="45"/>
    </row>
    <row r="23" spans="1:12" ht="25.5" customHeight="1" x14ac:dyDescent="0.25">
      <c r="A23" s="45"/>
      <c r="B23" s="612" t="s">
        <v>1448</v>
      </c>
      <c r="C23" s="855"/>
      <c r="D23" s="855"/>
      <c r="E23" s="855"/>
      <c r="F23" s="855"/>
      <c r="G23" s="855"/>
      <c r="H23" s="855"/>
      <c r="I23" s="855"/>
      <c r="J23" s="855"/>
      <c r="K23" s="45"/>
      <c r="L23" s="45"/>
    </row>
    <row r="24" spans="1:12" x14ac:dyDescent="0.25">
      <c r="A24" s="45"/>
      <c r="B24" s="112"/>
      <c r="C24" s="46"/>
      <c r="D24" s="46"/>
      <c r="E24" s="46"/>
      <c r="F24" s="45"/>
      <c r="G24" s="45"/>
      <c r="H24" s="45"/>
      <c r="I24" s="45"/>
      <c r="J24" s="45"/>
      <c r="K24" s="45"/>
      <c r="L24" s="45"/>
    </row>
    <row r="25" spans="1:12" x14ac:dyDescent="0.25">
      <c r="A25" s="45"/>
      <c r="B25" s="112" t="s">
        <v>1347</v>
      </c>
      <c r="C25" s="46"/>
      <c r="D25" s="46"/>
      <c r="E25" s="46"/>
      <c r="F25" s="45"/>
      <c r="G25" s="45"/>
      <c r="H25" s="45"/>
      <c r="I25" s="45"/>
      <c r="J25" s="45"/>
      <c r="K25" s="45"/>
      <c r="L25" s="45"/>
    </row>
    <row r="26" spans="1:12" x14ac:dyDescent="0.25">
      <c r="A26" s="45"/>
      <c r="B26" s="117" t="s">
        <v>140</v>
      </c>
      <c r="C26" s="46"/>
      <c r="D26" s="46"/>
      <c r="E26" s="46"/>
      <c r="F26" s="45"/>
      <c r="G26" s="45"/>
      <c r="H26" s="45"/>
      <c r="I26" s="45"/>
      <c r="J26" s="45"/>
      <c r="K26" s="45"/>
      <c r="L26" s="45"/>
    </row>
    <row r="27" spans="1:12" x14ac:dyDescent="0.25">
      <c r="A27" s="45"/>
      <c r="B27" s="117" t="s">
        <v>874</v>
      </c>
      <c r="C27" s="46"/>
      <c r="D27" s="46"/>
      <c r="E27" s="46"/>
      <c r="F27" s="45"/>
      <c r="G27" s="45"/>
      <c r="H27" s="45"/>
      <c r="I27" s="45"/>
      <c r="J27" s="45"/>
      <c r="K27" s="45"/>
      <c r="L27" s="45"/>
    </row>
    <row r="28" spans="1:12" x14ac:dyDescent="0.25">
      <c r="A28" s="45"/>
      <c r="B28" s="46" t="s">
        <v>1449</v>
      </c>
      <c r="C28" s="46"/>
      <c r="D28" s="46"/>
      <c r="E28" s="46"/>
      <c r="F28" s="45"/>
      <c r="G28" s="45"/>
      <c r="H28" s="45"/>
      <c r="I28" s="45"/>
      <c r="J28" s="45"/>
      <c r="K28" s="45"/>
      <c r="L28" s="45"/>
    </row>
    <row r="29" spans="1:12" ht="12.75" customHeight="1" x14ac:dyDescent="0.25">
      <c r="A29" s="45"/>
      <c r="B29" s="46"/>
      <c r="C29" s="46"/>
      <c r="D29" s="46"/>
      <c r="E29" s="46"/>
      <c r="F29" s="45"/>
      <c r="G29" s="45"/>
      <c r="H29" s="45"/>
      <c r="I29" s="45"/>
      <c r="J29" s="45"/>
      <c r="K29" s="45"/>
      <c r="L29" s="45"/>
    </row>
    <row r="30" spans="1:12" x14ac:dyDescent="0.25">
      <c r="A30" s="45"/>
      <c r="B30" s="112" t="s">
        <v>1348</v>
      </c>
      <c r="C30" s="46"/>
      <c r="D30" s="46"/>
      <c r="E30" s="46"/>
      <c r="F30" s="45"/>
      <c r="G30" s="45"/>
      <c r="H30" s="45"/>
      <c r="I30" s="45"/>
      <c r="J30" s="45"/>
      <c r="K30" s="45"/>
      <c r="L30" s="45"/>
    </row>
    <row r="31" spans="1:12" x14ac:dyDescent="0.25">
      <c r="A31" s="45"/>
      <c r="B31" s="117" t="s">
        <v>230</v>
      </c>
      <c r="C31" s="46"/>
      <c r="D31" s="46"/>
      <c r="E31" s="46"/>
      <c r="F31" s="45"/>
      <c r="G31" s="45"/>
      <c r="H31" s="45"/>
      <c r="I31" s="45"/>
      <c r="J31" s="45"/>
      <c r="K31" s="45"/>
      <c r="L31" s="45"/>
    </row>
    <row r="32" spans="1:12" x14ac:dyDescent="0.25">
      <c r="A32" s="45"/>
      <c r="B32" s="46" t="s">
        <v>141</v>
      </c>
      <c r="C32" s="46"/>
      <c r="D32" s="46"/>
      <c r="E32" s="46"/>
      <c r="F32" s="45"/>
      <c r="G32" s="45"/>
      <c r="H32" s="45"/>
      <c r="I32" s="45"/>
      <c r="J32" s="45"/>
      <c r="K32" s="45"/>
      <c r="L32" s="45"/>
    </row>
    <row r="33" spans="1:13" ht="18.75" customHeight="1" x14ac:dyDescent="0.25">
      <c r="A33" s="45"/>
      <c r="B33" s="46"/>
      <c r="C33" s="46"/>
      <c r="D33" s="46"/>
      <c r="E33" s="46"/>
      <c r="F33" s="45"/>
      <c r="G33" s="45"/>
      <c r="H33" s="45"/>
      <c r="I33" s="45"/>
      <c r="J33" s="45"/>
      <c r="K33" s="45"/>
      <c r="L33" s="45"/>
    </row>
    <row r="34" spans="1:13" ht="18" customHeight="1" x14ac:dyDescent="0.25">
      <c r="A34" s="2107" t="s">
        <v>6</v>
      </c>
      <c r="B34" s="2107"/>
      <c r="C34" s="2107"/>
      <c r="D34" s="2107"/>
      <c r="E34" s="2107"/>
      <c r="F34" s="2107"/>
      <c r="G34" s="2107"/>
      <c r="H34" s="2107"/>
      <c r="I34" s="2107"/>
      <c r="J34" s="2107"/>
      <c r="K34" s="2107"/>
      <c r="L34" s="2107"/>
    </row>
    <row r="35" spans="1:13" ht="12" customHeight="1" x14ac:dyDescent="0.25">
      <c r="A35" s="45"/>
      <c r="B35" s="46"/>
      <c r="C35" s="46"/>
      <c r="D35" s="46"/>
      <c r="E35" s="46"/>
      <c r="F35" s="45"/>
      <c r="G35" s="45"/>
      <c r="H35" s="45"/>
      <c r="I35" s="45"/>
      <c r="J35" s="45"/>
      <c r="K35" s="45"/>
      <c r="L35" s="45"/>
    </row>
    <row r="36" spans="1:13" x14ac:dyDescent="0.25">
      <c r="A36" s="45"/>
      <c r="B36" s="612" t="s">
        <v>871</v>
      </c>
      <c r="C36" s="46"/>
      <c r="D36" s="46"/>
      <c r="E36" s="46"/>
      <c r="F36" s="45"/>
      <c r="G36" s="45"/>
      <c r="H36" s="45"/>
      <c r="I36" s="45"/>
      <c r="J36" s="45"/>
      <c r="K36" s="45"/>
      <c r="L36" s="45"/>
    </row>
    <row r="37" spans="1:13" ht="20.25" customHeight="1" x14ac:dyDescent="0.25">
      <c r="A37" s="45"/>
      <c r="B37" s="46"/>
      <c r="C37" s="46"/>
      <c r="D37" s="46"/>
      <c r="E37" s="46"/>
      <c r="F37" s="45"/>
      <c r="G37" s="45"/>
      <c r="H37" s="45"/>
      <c r="I37" s="45"/>
      <c r="J37" s="45"/>
      <c r="K37" s="45"/>
      <c r="L37" s="45"/>
    </row>
    <row r="38" spans="1:13" ht="17.25" customHeight="1" x14ac:dyDescent="0.25">
      <c r="A38" s="45"/>
      <c r="B38" s="1836" t="s">
        <v>1360</v>
      </c>
      <c r="C38" s="1836"/>
      <c r="D38" s="1836"/>
      <c r="E38" s="1836"/>
      <c r="F38" s="1836"/>
      <c r="G38" s="1836"/>
      <c r="H38" s="1836"/>
      <c r="I38" s="45"/>
      <c r="J38" s="45"/>
      <c r="K38" s="45"/>
      <c r="L38" s="45"/>
    </row>
    <row r="39" spans="1:13" ht="11.25" customHeight="1" x14ac:dyDescent="0.25">
      <c r="A39" s="45"/>
      <c r="B39" s="46"/>
      <c r="C39" s="46"/>
      <c r="D39" s="46"/>
      <c r="E39" s="46"/>
      <c r="F39" s="45"/>
      <c r="G39" s="45"/>
      <c r="H39" s="45"/>
      <c r="I39" s="45"/>
      <c r="J39" s="45"/>
      <c r="K39" s="45"/>
      <c r="L39" s="45"/>
    </row>
    <row r="40" spans="1:13" ht="26.25" customHeight="1" x14ac:dyDescent="0.25">
      <c r="A40" s="45"/>
      <c r="B40" s="2104" t="s">
        <v>1355</v>
      </c>
      <c r="C40" s="2105"/>
      <c r="D40" s="807" t="s">
        <v>1359</v>
      </c>
      <c r="E40" s="46"/>
      <c r="F40" s="45"/>
      <c r="G40" s="45"/>
      <c r="H40" s="45"/>
      <c r="I40" s="45"/>
      <c r="J40" s="45"/>
      <c r="K40" s="45"/>
      <c r="L40" s="45"/>
    </row>
    <row r="41" spans="1:13" ht="17.25" customHeight="1" x14ac:dyDescent="0.25">
      <c r="A41" s="45"/>
      <c r="B41" s="1648" t="s">
        <v>1357</v>
      </c>
      <c r="C41" s="1650"/>
      <c r="D41" s="803" t="s">
        <v>53</v>
      </c>
      <c r="E41" s="46"/>
      <c r="F41" s="45"/>
      <c r="G41" s="45"/>
      <c r="H41" s="45"/>
      <c r="I41" s="45"/>
      <c r="J41" s="45"/>
      <c r="K41" s="45"/>
      <c r="L41" s="45"/>
    </row>
    <row r="42" spans="1:13" ht="17.25" customHeight="1" x14ac:dyDescent="0.25">
      <c r="A42" s="45"/>
      <c r="B42" s="1648" t="s">
        <v>1356</v>
      </c>
      <c r="C42" s="1650"/>
      <c r="D42" s="854" t="s">
        <v>53</v>
      </c>
      <c r="E42" s="46"/>
      <c r="F42" s="45"/>
      <c r="G42" s="45"/>
      <c r="H42" s="45"/>
      <c r="I42" s="45"/>
      <c r="J42" s="45"/>
      <c r="K42" s="45"/>
      <c r="L42" s="45"/>
    </row>
    <row r="43" spans="1:13" ht="17.25" customHeight="1" x14ac:dyDescent="0.25">
      <c r="A43" s="45"/>
      <c r="B43" s="1648" t="s">
        <v>1358</v>
      </c>
      <c r="C43" s="1650"/>
      <c r="D43" s="854" t="s">
        <v>53</v>
      </c>
      <c r="E43" s="46"/>
      <c r="F43" s="45"/>
      <c r="G43" s="45"/>
      <c r="H43" s="45"/>
      <c r="I43" s="45"/>
      <c r="J43" s="45"/>
      <c r="K43" s="45"/>
      <c r="L43" s="45"/>
    </row>
    <row r="44" spans="1:13" ht="21" customHeight="1" x14ac:dyDescent="0.25">
      <c r="A44" s="45"/>
      <c r="B44" s="46"/>
      <c r="C44" s="46"/>
      <c r="D44" s="46"/>
      <c r="E44" s="46"/>
      <c r="F44" s="45"/>
      <c r="G44" s="45"/>
      <c r="H44" s="45"/>
      <c r="I44" s="45"/>
      <c r="J44" s="45"/>
      <c r="K44" s="45"/>
      <c r="L44" s="45"/>
    </row>
    <row r="45" spans="1:13" x14ac:dyDescent="0.25">
      <c r="A45" s="45"/>
      <c r="B45" s="1836" t="s">
        <v>1349</v>
      </c>
      <c r="C45" s="1836"/>
      <c r="D45" s="1836"/>
      <c r="E45" s="1836"/>
      <c r="F45" s="1836"/>
      <c r="G45" s="1836"/>
      <c r="H45" s="1836"/>
      <c r="I45" s="45"/>
      <c r="J45" s="45"/>
      <c r="K45" s="45"/>
      <c r="L45" s="45"/>
    </row>
    <row r="46" spans="1:13" ht="12" customHeight="1" x14ac:dyDescent="0.25">
      <c r="A46" s="45"/>
      <c r="B46" s="46"/>
      <c r="C46" s="46"/>
      <c r="D46" s="46"/>
      <c r="E46" s="46"/>
      <c r="F46" s="45"/>
      <c r="G46" s="45"/>
      <c r="H46" s="45"/>
      <c r="I46" s="45"/>
      <c r="J46" s="45"/>
      <c r="K46" s="45"/>
      <c r="L46" s="45"/>
    </row>
    <row r="47" spans="1:13" x14ac:dyDescent="0.25">
      <c r="A47" s="45"/>
      <c r="B47" s="112" t="s">
        <v>1350</v>
      </c>
      <c r="C47" s="46"/>
      <c r="D47" s="46"/>
      <c r="E47" s="46"/>
      <c r="F47" s="45"/>
      <c r="G47" s="45"/>
      <c r="H47" s="45"/>
      <c r="I47" s="45"/>
      <c r="J47" s="45"/>
      <c r="K47" s="45"/>
      <c r="L47" s="45"/>
    </row>
    <row r="48" spans="1:13" ht="40.5" customHeight="1" x14ac:dyDescent="0.25">
      <c r="A48" s="45"/>
      <c r="B48" s="44" t="s">
        <v>517</v>
      </c>
      <c r="C48" s="809" t="s">
        <v>142</v>
      </c>
      <c r="D48" s="138" t="s">
        <v>711</v>
      </c>
      <c r="E48" s="138" t="s">
        <v>143</v>
      </c>
      <c r="F48" s="138" t="s">
        <v>2350</v>
      </c>
      <c r="G48" s="138" t="s">
        <v>1345</v>
      </c>
      <c r="H48" s="138" t="s">
        <v>229</v>
      </c>
      <c r="I48" s="138" t="s">
        <v>1346</v>
      </c>
      <c r="J48" s="2109" t="s">
        <v>77</v>
      </c>
      <c r="K48" s="2109"/>
      <c r="L48" s="45"/>
      <c r="M48" s="45"/>
    </row>
    <row r="49" spans="1:14" x14ac:dyDescent="0.25">
      <c r="A49" s="45"/>
      <c r="B49" s="803"/>
      <c r="C49" s="803" t="s">
        <v>53</v>
      </c>
      <c r="D49" s="853"/>
      <c r="E49" s="805"/>
      <c r="F49" s="805"/>
      <c r="G49" s="805"/>
      <c r="H49" s="805" t="s">
        <v>53</v>
      </c>
      <c r="I49" s="804"/>
      <c r="J49" s="2102" t="str">
        <f>IF(OR(F49="",G49=""),"",IF(AND(F49&gt;=0.04*D49,G49&lt;8),"Yes",IF(AND(H49="Yes",I49&gt;=0.08*D49,I49&gt;2.3,G49&lt;8),"Yes","No")))</f>
        <v/>
      </c>
      <c r="K49" s="2102"/>
      <c r="L49" s="45"/>
      <c r="M49" s="45"/>
      <c r="N49" s="35">
        <f>IF(J49="Yes",D49,0)</f>
        <v>0</v>
      </c>
    </row>
    <row r="50" spans="1:14" x14ac:dyDescent="0.25">
      <c r="A50" s="45"/>
      <c r="B50" s="803"/>
      <c r="C50" s="803" t="s">
        <v>53</v>
      </c>
      <c r="D50" s="853"/>
      <c r="E50" s="805"/>
      <c r="F50" s="805"/>
      <c r="G50" s="805"/>
      <c r="H50" s="805" t="s">
        <v>53</v>
      </c>
      <c r="I50" s="804"/>
      <c r="J50" s="2102" t="str">
        <f>IF(OR(F50="",G50=""),"",IF(AND(F50&gt;=0.04*D50,G50&lt;8),"Yes",IF(AND(H50="Yes",I50&gt;=0.08*D50,I50&gt;2.3,G50&lt;8),"Yes","No")))</f>
        <v/>
      </c>
      <c r="K50" s="2102"/>
      <c r="L50" s="45"/>
      <c r="M50" s="45"/>
      <c r="N50" s="35">
        <f t="shared" ref="N50:N68" si="0">IF(J50="Yes",D50,0)</f>
        <v>0</v>
      </c>
    </row>
    <row r="51" spans="1:14" x14ac:dyDescent="0.25">
      <c r="A51" s="45"/>
      <c r="B51" s="803"/>
      <c r="C51" s="803" t="s">
        <v>53</v>
      </c>
      <c r="D51" s="853"/>
      <c r="E51" s="805"/>
      <c r="F51" s="805"/>
      <c r="G51" s="805"/>
      <c r="H51" s="805" t="s">
        <v>53</v>
      </c>
      <c r="I51" s="804"/>
      <c r="J51" s="2102" t="str">
        <f t="shared" ref="J51:J68" si="1">IF(OR(F51="",G51=""),"",IF(AND(F51&gt;=0.04*D51,G51&lt;8),"Yes",IF(AND(H51="Yes",I51&gt;=0.08*D51,I51&gt;2.3,G51&lt;8),"Yes","No")))</f>
        <v/>
      </c>
      <c r="K51" s="2102"/>
      <c r="L51" s="45"/>
      <c r="M51" s="45"/>
      <c r="N51" s="35">
        <f t="shared" si="0"/>
        <v>0</v>
      </c>
    </row>
    <row r="52" spans="1:14" x14ac:dyDescent="0.25">
      <c r="A52" s="45"/>
      <c r="B52" s="803"/>
      <c r="C52" s="803" t="s">
        <v>53</v>
      </c>
      <c r="D52" s="853"/>
      <c r="E52" s="805"/>
      <c r="F52" s="805"/>
      <c r="G52" s="805"/>
      <c r="H52" s="805" t="s">
        <v>53</v>
      </c>
      <c r="I52" s="804"/>
      <c r="J52" s="2102" t="str">
        <f t="shared" ref="J52:J63" si="2">IF(OR(F52="",G52=""),"",IF(AND(F52&gt;=0.04*D52,G52&lt;8),"Yes",IF(AND(H52="Yes",I52&gt;=0.08*D52,I52&gt;2.3,G52&lt;8),"Yes","No")))</f>
        <v/>
      </c>
      <c r="K52" s="2102"/>
      <c r="L52" s="45"/>
      <c r="M52" s="45"/>
      <c r="N52" s="35">
        <f t="shared" ref="N52:N63" si="3">IF(J52="Yes",D52,0)</f>
        <v>0</v>
      </c>
    </row>
    <row r="53" spans="1:14" x14ac:dyDescent="0.25">
      <c r="A53" s="45"/>
      <c r="B53" s="803"/>
      <c r="C53" s="803" t="s">
        <v>53</v>
      </c>
      <c r="D53" s="853"/>
      <c r="E53" s="805"/>
      <c r="F53" s="805"/>
      <c r="G53" s="805"/>
      <c r="H53" s="805" t="s">
        <v>53</v>
      </c>
      <c r="I53" s="804"/>
      <c r="J53" s="2102" t="str">
        <f t="shared" si="2"/>
        <v/>
      </c>
      <c r="K53" s="2102"/>
      <c r="L53" s="45"/>
      <c r="M53" s="45"/>
      <c r="N53" s="35">
        <f t="shared" si="3"/>
        <v>0</v>
      </c>
    </row>
    <row r="54" spans="1:14" x14ac:dyDescent="0.25">
      <c r="A54" s="45"/>
      <c r="B54" s="1189"/>
      <c r="C54" s="1189" t="s">
        <v>53</v>
      </c>
      <c r="D54" s="1188"/>
      <c r="E54" s="1190"/>
      <c r="F54" s="1190"/>
      <c r="G54" s="1190"/>
      <c r="H54" s="1190" t="s">
        <v>53</v>
      </c>
      <c r="I54" s="1188"/>
      <c r="J54" s="2102" t="str">
        <f t="shared" ref="J54:J58" si="4">IF(OR(F54="",G54=""),"",IF(AND(F54&gt;=0.04*D54,G54&lt;8),"Yes",IF(AND(H54="Yes",I54&gt;=0.08*D54,I54&gt;2.3,G54&lt;8),"Yes","No")))</f>
        <v/>
      </c>
      <c r="K54" s="2102"/>
      <c r="L54" s="45"/>
      <c r="M54" s="45"/>
      <c r="N54" s="35">
        <f t="shared" ref="N54:N58" si="5">IF(J54="Yes",D54,0)</f>
        <v>0</v>
      </c>
    </row>
    <row r="55" spans="1:14" x14ac:dyDescent="0.25">
      <c r="A55" s="45"/>
      <c r="B55" s="1189"/>
      <c r="C55" s="1189" t="s">
        <v>53</v>
      </c>
      <c r="D55" s="1188"/>
      <c r="E55" s="1190"/>
      <c r="F55" s="1190"/>
      <c r="G55" s="1190"/>
      <c r="H55" s="1190" t="s">
        <v>53</v>
      </c>
      <c r="I55" s="1188"/>
      <c r="J55" s="2102" t="str">
        <f t="shared" si="4"/>
        <v/>
      </c>
      <c r="K55" s="2102"/>
      <c r="L55" s="45"/>
      <c r="M55" s="45"/>
      <c r="N55" s="35">
        <f t="shared" si="5"/>
        <v>0</v>
      </c>
    </row>
    <row r="56" spans="1:14" x14ac:dyDescent="0.25">
      <c r="A56" s="45"/>
      <c r="B56" s="1189"/>
      <c r="C56" s="1189" t="s">
        <v>53</v>
      </c>
      <c r="D56" s="1188"/>
      <c r="E56" s="1190"/>
      <c r="F56" s="1190"/>
      <c r="G56" s="1190"/>
      <c r="H56" s="1190" t="s">
        <v>53</v>
      </c>
      <c r="I56" s="1188"/>
      <c r="J56" s="2102" t="str">
        <f t="shared" si="4"/>
        <v/>
      </c>
      <c r="K56" s="2102"/>
      <c r="L56" s="45"/>
      <c r="M56" s="45"/>
      <c r="N56" s="35">
        <f t="shared" si="5"/>
        <v>0</v>
      </c>
    </row>
    <row r="57" spans="1:14" x14ac:dyDescent="0.25">
      <c r="A57" s="45"/>
      <c r="B57" s="1189"/>
      <c r="C57" s="1189" t="s">
        <v>53</v>
      </c>
      <c r="D57" s="1188"/>
      <c r="E57" s="1190"/>
      <c r="F57" s="1190"/>
      <c r="G57" s="1190"/>
      <c r="H57" s="1190" t="s">
        <v>53</v>
      </c>
      <c r="I57" s="1188"/>
      <c r="J57" s="2102" t="str">
        <f t="shared" si="4"/>
        <v/>
      </c>
      <c r="K57" s="2102"/>
      <c r="L57" s="45"/>
      <c r="M57" s="45"/>
      <c r="N57" s="35">
        <f t="shared" si="5"/>
        <v>0</v>
      </c>
    </row>
    <row r="58" spans="1:14" x14ac:dyDescent="0.25">
      <c r="A58" s="45"/>
      <c r="B58" s="1189"/>
      <c r="C58" s="1189" t="s">
        <v>53</v>
      </c>
      <c r="D58" s="1188"/>
      <c r="E58" s="1190"/>
      <c r="F58" s="1190"/>
      <c r="G58" s="1190"/>
      <c r="H58" s="1190" t="s">
        <v>53</v>
      </c>
      <c r="I58" s="1188"/>
      <c r="J58" s="2102" t="str">
        <f t="shared" si="4"/>
        <v/>
      </c>
      <c r="K58" s="2102"/>
      <c r="L58" s="45"/>
      <c r="M58" s="45"/>
      <c r="N58" s="35">
        <f t="shared" si="5"/>
        <v>0</v>
      </c>
    </row>
    <row r="59" spans="1:14" x14ac:dyDescent="0.25">
      <c r="A59" s="45"/>
      <c r="B59" s="803"/>
      <c r="C59" s="803" t="s">
        <v>53</v>
      </c>
      <c r="D59" s="853"/>
      <c r="E59" s="805"/>
      <c r="F59" s="805"/>
      <c r="G59" s="805"/>
      <c r="H59" s="805" t="s">
        <v>53</v>
      </c>
      <c r="I59" s="804"/>
      <c r="J59" s="2102" t="str">
        <f t="shared" si="2"/>
        <v/>
      </c>
      <c r="K59" s="2102"/>
      <c r="L59" s="45"/>
      <c r="M59" s="45"/>
      <c r="N59" s="35">
        <f t="shared" si="3"/>
        <v>0</v>
      </c>
    </row>
    <row r="60" spans="1:14" x14ac:dyDescent="0.25">
      <c r="A60" s="45"/>
      <c r="B60" s="803"/>
      <c r="C60" s="803" t="s">
        <v>53</v>
      </c>
      <c r="D60" s="853"/>
      <c r="E60" s="805"/>
      <c r="F60" s="805"/>
      <c r="G60" s="805"/>
      <c r="H60" s="805" t="s">
        <v>53</v>
      </c>
      <c r="I60" s="804"/>
      <c r="J60" s="2102" t="str">
        <f t="shared" si="2"/>
        <v/>
      </c>
      <c r="K60" s="2102"/>
      <c r="L60" s="45"/>
      <c r="M60" s="45"/>
      <c r="N60" s="35">
        <f t="shared" si="3"/>
        <v>0</v>
      </c>
    </row>
    <row r="61" spans="1:14" x14ac:dyDescent="0.25">
      <c r="A61" s="45"/>
      <c r="B61" s="803"/>
      <c r="C61" s="803" t="s">
        <v>53</v>
      </c>
      <c r="D61" s="853"/>
      <c r="E61" s="805"/>
      <c r="F61" s="805"/>
      <c r="G61" s="805"/>
      <c r="H61" s="805" t="s">
        <v>53</v>
      </c>
      <c r="I61" s="804"/>
      <c r="J61" s="2102" t="str">
        <f t="shared" si="2"/>
        <v/>
      </c>
      <c r="K61" s="2102"/>
      <c r="L61" s="45"/>
      <c r="M61" s="45"/>
      <c r="N61" s="35">
        <f t="shared" si="3"/>
        <v>0</v>
      </c>
    </row>
    <row r="62" spans="1:14" x14ac:dyDescent="0.25">
      <c r="A62" s="45"/>
      <c r="B62" s="803"/>
      <c r="C62" s="803" t="s">
        <v>53</v>
      </c>
      <c r="D62" s="853"/>
      <c r="E62" s="805"/>
      <c r="F62" s="805"/>
      <c r="G62" s="805"/>
      <c r="H62" s="805" t="s">
        <v>53</v>
      </c>
      <c r="I62" s="804"/>
      <c r="J62" s="2102" t="str">
        <f t="shared" si="2"/>
        <v/>
      </c>
      <c r="K62" s="2102"/>
      <c r="L62" s="45"/>
      <c r="M62" s="45"/>
      <c r="N62" s="35">
        <f t="shared" si="3"/>
        <v>0</v>
      </c>
    </row>
    <row r="63" spans="1:14" x14ac:dyDescent="0.25">
      <c r="A63" s="45"/>
      <c r="B63" s="803"/>
      <c r="C63" s="803" t="s">
        <v>53</v>
      </c>
      <c r="D63" s="853"/>
      <c r="E63" s="805"/>
      <c r="F63" s="805"/>
      <c r="G63" s="805"/>
      <c r="H63" s="805" t="s">
        <v>53</v>
      </c>
      <c r="I63" s="804"/>
      <c r="J63" s="2102" t="str">
        <f t="shared" si="2"/>
        <v/>
      </c>
      <c r="K63" s="2102"/>
      <c r="L63" s="45"/>
      <c r="M63" s="45"/>
      <c r="N63" s="35">
        <f t="shared" si="3"/>
        <v>0</v>
      </c>
    </row>
    <row r="64" spans="1:14" x14ac:dyDescent="0.25">
      <c r="A64" s="45"/>
      <c r="B64" s="803"/>
      <c r="C64" s="803" t="s">
        <v>53</v>
      </c>
      <c r="D64" s="853"/>
      <c r="E64" s="805"/>
      <c r="F64" s="805"/>
      <c r="G64" s="805"/>
      <c r="H64" s="805" t="s">
        <v>53</v>
      </c>
      <c r="I64" s="804"/>
      <c r="J64" s="2102" t="str">
        <f t="shared" si="1"/>
        <v/>
      </c>
      <c r="K64" s="2102"/>
      <c r="L64" s="45"/>
      <c r="M64" s="45"/>
      <c r="N64" s="35">
        <f t="shared" si="0"/>
        <v>0</v>
      </c>
    </row>
    <row r="65" spans="1:14" x14ac:dyDescent="0.25">
      <c r="A65" s="45"/>
      <c r="B65" s="803"/>
      <c r="C65" s="803" t="s">
        <v>53</v>
      </c>
      <c r="D65" s="853"/>
      <c r="E65" s="805"/>
      <c r="F65" s="805"/>
      <c r="G65" s="805"/>
      <c r="H65" s="805" t="s">
        <v>53</v>
      </c>
      <c r="I65" s="804"/>
      <c r="J65" s="2102" t="str">
        <f t="shared" si="1"/>
        <v/>
      </c>
      <c r="K65" s="2102"/>
      <c r="L65" s="45"/>
      <c r="M65" s="45"/>
      <c r="N65" s="35">
        <f t="shared" si="0"/>
        <v>0</v>
      </c>
    </row>
    <row r="66" spans="1:14" x14ac:dyDescent="0.25">
      <c r="A66" s="45"/>
      <c r="B66" s="803"/>
      <c r="C66" s="803" t="s">
        <v>53</v>
      </c>
      <c r="D66" s="853"/>
      <c r="E66" s="805"/>
      <c r="F66" s="805"/>
      <c r="G66" s="805"/>
      <c r="H66" s="805" t="s">
        <v>53</v>
      </c>
      <c r="I66" s="804"/>
      <c r="J66" s="2102" t="str">
        <f t="shared" si="1"/>
        <v/>
      </c>
      <c r="K66" s="2102"/>
      <c r="L66" s="45"/>
      <c r="M66" s="45"/>
      <c r="N66" s="35">
        <f t="shared" si="0"/>
        <v>0</v>
      </c>
    </row>
    <row r="67" spans="1:14" x14ac:dyDescent="0.25">
      <c r="A67" s="45"/>
      <c r="B67" s="803"/>
      <c r="C67" s="803" t="s">
        <v>53</v>
      </c>
      <c r="D67" s="853"/>
      <c r="E67" s="99"/>
      <c r="F67" s="99"/>
      <c r="G67" s="99"/>
      <c r="H67" s="805" t="s">
        <v>53</v>
      </c>
      <c r="I67" s="141"/>
      <c r="J67" s="2102" t="str">
        <f t="shared" si="1"/>
        <v/>
      </c>
      <c r="K67" s="2102"/>
      <c r="L67" s="45"/>
      <c r="M67" s="45"/>
      <c r="N67" s="35">
        <f t="shared" si="0"/>
        <v>0</v>
      </c>
    </row>
    <row r="68" spans="1:14" x14ac:dyDescent="0.25">
      <c r="A68" s="45"/>
      <c r="B68" s="803"/>
      <c r="C68" s="803" t="s">
        <v>53</v>
      </c>
      <c r="D68" s="853"/>
      <c r="E68" s="99"/>
      <c r="F68" s="99"/>
      <c r="G68" s="99"/>
      <c r="H68" s="805" t="s">
        <v>53</v>
      </c>
      <c r="I68" s="141"/>
      <c r="J68" s="2102" t="str">
        <f t="shared" si="1"/>
        <v/>
      </c>
      <c r="K68" s="2102"/>
      <c r="L68" s="45"/>
      <c r="M68" s="45"/>
      <c r="N68" s="35">
        <f t="shared" si="0"/>
        <v>0</v>
      </c>
    </row>
    <row r="69" spans="1:14" ht="20.25" customHeight="1" x14ac:dyDescent="0.25">
      <c r="A69" s="45"/>
      <c r="B69" s="112"/>
      <c r="C69" s="46"/>
      <c r="D69" s="46"/>
      <c r="E69" s="46"/>
      <c r="F69" s="45"/>
      <c r="G69" s="45"/>
      <c r="H69" s="45"/>
      <c r="I69" s="45"/>
      <c r="J69" s="45"/>
      <c r="K69" s="45"/>
      <c r="L69" s="45"/>
    </row>
    <row r="70" spans="1:14" x14ac:dyDescent="0.25">
      <c r="A70" s="45"/>
      <c r="B70" s="1836" t="s">
        <v>1447</v>
      </c>
      <c r="C70" s="1836"/>
      <c r="D70" s="1836"/>
      <c r="E70" s="1836"/>
      <c r="F70" s="1836"/>
      <c r="G70" s="1836"/>
      <c r="H70" s="1836"/>
      <c r="I70" s="45"/>
      <c r="J70" s="45"/>
      <c r="K70" s="45"/>
      <c r="L70" s="45"/>
    </row>
    <row r="71" spans="1:14" ht="12" customHeight="1" x14ac:dyDescent="0.25">
      <c r="A71" s="45"/>
      <c r="B71" s="46"/>
      <c r="C71" s="46"/>
      <c r="D71" s="46"/>
      <c r="E71" s="46"/>
      <c r="F71" s="45"/>
      <c r="G71" s="45"/>
      <c r="H71" s="45"/>
      <c r="I71" s="45"/>
      <c r="J71" s="45"/>
      <c r="K71" s="45"/>
      <c r="L71" s="45"/>
    </row>
    <row r="72" spans="1:14" x14ac:dyDescent="0.25">
      <c r="A72" s="45"/>
      <c r="B72" s="112" t="s">
        <v>1351</v>
      </c>
      <c r="C72" s="46"/>
      <c r="D72" s="46"/>
      <c r="E72" s="46"/>
      <c r="F72" s="45"/>
      <c r="G72" s="45"/>
      <c r="H72" s="45"/>
      <c r="I72" s="45"/>
      <c r="J72" s="45"/>
      <c r="K72" s="45"/>
      <c r="L72" s="45"/>
    </row>
    <row r="73" spans="1:14" ht="28.5" customHeight="1" x14ac:dyDescent="0.25">
      <c r="A73" s="45"/>
      <c r="B73" s="812" t="s">
        <v>517</v>
      </c>
      <c r="C73" s="807" t="s">
        <v>142</v>
      </c>
      <c r="D73" s="807" t="s">
        <v>711</v>
      </c>
      <c r="E73" s="807" t="s">
        <v>1352</v>
      </c>
      <c r="F73" s="2106" t="s">
        <v>12</v>
      </c>
      <c r="G73" s="2106"/>
      <c r="H73" s="532"/>
      <c r="I73" s="45"/>
      <c r="J73" s="45"/>
      <c r="K73" s="45"/>
      <c r="L73" s="45"/>
    </row>
    <row r="74" spans="1:14" x14ac:dyDescent="0.25">
      <c r="A74" s="45"/>
      <c r="B74" s="803"/>
      <c r="C74" s="803" t="s">
        <v>53</v>
      </c>
      <c r="D74" s="805"/>
      <c r="E74" s="803" t="s">
        <v>53</v>
      </c>
      <c r="F74" s="1739"/>
      <c r="G74" s="2103"/>
      <c r="H74" s="45"/>
      <c r="I74" s="45"/>
      <c r="J74" s="45"/>
      <c r="K74" s="45"/>
      <c r="L74" s="45"/>
      <c r="N74" s="35">
        <f>IF(E74="Other standard",IF(F74&lt;&gt;"",D74,0),IF(AND(E74&lt;&gt;"",E74&lt;&gt;"Select"),D74,0))</f>
        <v>0</v>
      </c>
    </row>
    <row r="75" spans="1:14" x14ac:dyDescent="0.25">
      <c r="A75" s="45"/>
      <c r="B75" s="803"/>
      <c r="C75" s="803" t="s">
        <v>53</v>
      </c>
      <c r="D75" s="805"/>
      <c r="E75" s="803" t="s">
        <v>53</v>
      </c>
      <c r="F75" s="1739"/>
      <c r="G75" s="2103"/>
      <c r="H75" s="45"/>
      <c r="I75" s="45"/>
      <c r="J75" s="45"/>
      <c r="K75" s="45"/>
      <c r="L75" s="45"/>
      <c r="N75" s="35">
        <f t="shared" ref="N75:N93" si="6">IF(E75="Other standard",IF(F75&lt;&gt;"",D75,0),IF(AND(E75&lt;&gt;"",E75&lt;&gt;"Select"),D75,0))</f>
        <v>0</v>
      </c>
    </row>
    <row r="76" spans="1:14" x14ac:dyDescent="0.25">
      <c r="A76" s="45"/>
      <c r="B76" s="803"/>
      <c r="C76" s="803" t="s">
        <v>53</v>
      </c>
      <c r="D76" s="805"/>
      <c r="E76" s="803" t="s">
        <v>53</v>
      </c>
      <c r="F76" s="1739"/>
      <c r="G76" s="2103"/>
      <c r="H76" s="140"/>
      <c r="I76" s="45"/>
      <c r="J76" s="45"/>
      <c r="K76" s="45"/>
      <c r="L76" s="45"/>
      <c r="N76" s="35">
        <f t="shared" si="6"/>
        <v>0</v>
      </c>
    </row>
    <row r="77" spans="1:14" x14ac:dyDescent="0.25">
      <c r="A77" s="45"/>
      <c r="B77" s="803"/>
      <c r="C77" s="803" t="s">
        <v>53</v>
      </c>
      <c r="D77" s="805"/>
      <c r="E77" s="803" t="s">
        <v>53</v>
      </c>
      <c r="F77" s="1739"/>
      <c r="G77" s="2103"/>
      <c r="H77" s="140"/>
      <c r="I77" s="45"/>
      <c r="J77" s="45"/>
      <c r="K77" s="45"/>
      <c r="L77" s="45"/>
      <c r="N77" s="35">
        <f t="shared" si="6"/>
        <v>0</v>
      </c>
    </row>
    <row r="78" spans="1:14" x14ac:dyDescent="0.25">
      <c r="A78" s="45"/>
      <c r="B78" s="803"/>
      <c r="C78" s="803" t="s">
        <v>53</v>
      </c>
      <c r="D78" s="805"/>
      <c r="E78" s="803" t="s">
        <v>53</v>
      </c>
      <c r="F78" s="1739"/>
      <c r="G78" s="2103"/>
      <c r="H78" s="140"/>
      <c r="I78" s="45"/>
      <c r="J78" s="45"/>
      <c r="K78" s="45"/>
      <c r="L78" s="45"/>
      <c r="N78" s="35">
        <f t="shared" si="6"/>
        <v>0</v>
      </c>
    </row>
    <row r="79" spans="1:14" x14ac:dyDescent="0.25">
      <c r="A79" s="45"/>
      <c r="B79" s="803"/>
      <c r="C79" s="803" t="s">
        <v>53</v>
      </c>
      <c r="D79" s="805"/>
      <c r="E79" s="803" t="s">
        <v>53</v>
      </c>
      <c r="F79" s="1739"/>
      <c r="G79" s="2103"/>
      <c r="H79" s="140"/>
      <c r="I79" s="45"/>
      <c r="J79" s="45"/>
      <c r="K79" s="45"/>
      <c r="L79" s="45"/>
      <c r="N79" s="35">
        <f t="shared" si="6"/>
        <v>0</v>
      </c>
    </row>
    <row r="80" spans="1:14" x14ac:dyDescent="0.25">
      <c r="A80" s="45"/>
      <c r="B80" s="1189"/>
      <c r="C80" s="1189" t="s">
        <v>53</v>
      </c>
      <c r="D80" s="1190"/>
      <c r="E80" s="1189" t="s">
        <v>53</v>
      </c>
      <c r="F80" s="1739"/>
      <c r="G80" s="2103"/>
      <c r="H80" s="140"/>
      <c r="I80" s="45"/>
      <c r="J80" s="45"/>
      <c r="K80" s="45"/>
      <c r="L80" s="45"/>
      <c r="N80" s="35">
        <f t="shared" ref="N80:N84" si="7">IF(E80="Other standard",IF(F80&lt;&gt;"",D80,0),IF(AND(E80&lt;&gt;"",E80&lt;&gt;"Select"),D80,0))</f>
        <v>0</v>
      </c>
    </row>
    <row r="81" spans="1:14" x14ac:dyDescent="0.25">
      <c r="A81" s="45"/>
      <c r="B81" s="1189"/>
      <c r="C81" s="1189" t="s">
        <v>53</v>
      </c>
      <c r="D81" s="1190"/>
      <c r="E81" s="1189" t="s">
        <v>53</v>
      </c>
      <c r="F81" s="1739"/>
      <c r="G81" s="2103"/>
      <c r="H81" s="140"/>
      <c r="I81" s="45"/>
      <c r="J81" s="45"/>
      <c r="K81" s="45"/>
      <c r="L81" s="45"/>
      <c r="N81" s="35">
        <f t="shared" si="7"/>
        <v>0</v>
      </c>
    </row>
    <row r="82" spans="1:14" x14ac:dyDescent="0.25">
      <c r="A82" s="45"/>
      <c r="B82" s="1189"/>
      <c r="C82" s="1189" t="s">
        <v>53</v>
      </c>
      <c r="D82" s="1190"/>
      <c r="E82" s="1189" t="s">
        <v>53</v>
      </c>
      <c r="F82" s="1739"/>
      <c r="G82" s="2103"/>
      <c r="H82" s="45"/>
      <c r="I82" s="45"/>
      <c r="J82" s="45"/>
      <c r="K82" s="45"/>
      <c r="L82" s="45"/>
      <c r="N82" s="35">
        <f t="shared" si="7"/>
        <v>0</v>
      </c>
    </row>
    <row r="83" spans="1:14" x14ac:dyDescent="0.25">
      <c r="A83" s="45"/>
      <c r="B83" s="1189"/>
      <c r="C83" s="1189" t="s">
        <v>53</v>
      </c>
      <c r="D83" s="1190"/>
      <c r="E83" s="1189" t="s">
        <v>53</v>
      </c>
      <c r="F83" s="1739"/>
      <c r="G83" s="2103"/>
      <c r="H83" s="45"/>
      <c r="I83" s="45"/>
      <c r="J83" s="45"/>
      <c r="K83" s="45"/>
      <c r="L83" s="45"/>
      <c r="N83" s="35">
        <f t="shared" si="7"/>
        <v>0</v>
      </c>
    </row>
    <row r="84" spans="1:14" x14ac:dyDescent="0.25">
      <c r="A84" s="45"/>
      <c r="B84" s="1189"/>
      <c r="C84" s="1189" t="s">
        <v>53</v>
      </c>
      <c r="D84" s="1190"/>
      <c r="E84" s="1189" t="s">
        <v>53</v>
      </c>
      <c r="F84" s="1739"/>
      <c r="G84" s="2103"/>
      <c r="H84" s="45"/>
      <c r="I84" s="45"/>
      <c r="J84" s="45"/>
      <c r="K84" s="45"/>
      <c r="L84" s="45"/>
      <c r="N84" s="35">
        <f t="shared" si="7"/>
        <v>0</v>
      </c>
    </row>
    <row r="85" spans="1:14" x14ac:dyDescent="0.25">
      <c r="A85" s="45"/>
      <c r="B85" s="803"/>
      <c r="C85" s="803" t="s">
        <v>53</v>
      </c>
      <c r="D85" s="805"/>
      <c r="E85" s="803" t="s">
        <v>53</v>
      </c>
      <c r="F85" s="1739"/>
      <c r="G85" s="2103"/>
      <c r="H85" s="140"/>
      <c r="I85" s="45"/>
      <c r="J85" s="45"/>
      <c r="K85" s="45"/>
      <c r="L85" s="45"/>
      <c r="N85" s="35">
        <f t="shared" si="6"/>
        <v>0</v>
      </c>
    </row>
    <row r="86" spans="1:14" x14ac:dyDescent="0.25">
      <c r="A86" s="45"/>
      <c r="B86" s="803"/>
      <c r="C86" s="803" t="s">
        <v>53</v>
      </c>
      <c r="D86" s="805"/>
      <c r="E86" s="803" t="s">
        <v>53</v>
      </c>
      <c r="F86" s="1739"/>
      <c r="G86" s="2103"/>
      <c r="H86" s="140"/>
      <c r="I86" s="45"/>
      <c r="J86" s="45"/>
      <c r="K86" s="45"/>
      <c r="L86" s="45"/>
      <c r="N86" s="35">
        <f t="shared" si="6"/>
        <v>0</v>
      </c>
    </row>
    <row r="87" spans="1:14" x14ac:dyDescent="0.25">
      <c r="A87" s="45"/>
      <c r="B87" s="803"/>
      <c r="C87" s="803" t="s">
        <v>53</v>
      </c>
      <c r="D87" s="805"/>
      <c r="E87" s="803" t="s">
        <v>53</v>
      </c>
      <c r="F87" s="1739"/>
      <c r="G87" s="2103"/>
      <c r="H87" s="45"/>
      <c r="I87" s="45"/>
      <c r="J87" s="45"/>
      <c r="K87" s="45"/>
      <c r="L87" s="45"/>
      <c r="N87" s="35">
        <f t="shared" si="6"/>
        <v>0</v>
      </c>
    </row>
    <row r="88" spans="1:14" x14ac:dyDescent="0.25">
      <c r="A88" s="45"/>
      <c r="B88" s="803"/>
      <c r="C88" s="803" t="s">
        <v>53</v>
      </c>
      <c r="D88" s="805"/>
      <c r="E88" s="803" t="s">
        <v>53</v>
      </c>
      <c r="F88" s="1739"/>
      <c r="G88" s="2103"/>
      <c r="H88" s="45"/>
      <c r="I88" s="45"/>
      <c r="J88" s="45"/>
      <c r="K88" s="45"/>
      <c r="L88" s="45"/>
      <c r="N88" s="35">
        <f t="shared" si="6"/>
        <v>0</v>
      </c>
    </row>
    <row r="89" spans="1:14" x14ac:dyDescent="0.25">
      <c r="A89" s="45"/>
      <c r="B89" s="803"/>
      <c r="C89" s="803" t="s">
        <v>53</v>
      </c>
      <c r="D89" s="805"/>
      <c r="E89" s="803" t="s">
        <v>53</v>
      </c>
      <c r="F89" s="1739"/>
      <c r="G89" s="2103"/>
      <c r="H89" s="45"/>
      <c r="I89" s="45"/>
      <c r="J89" s="45"/>
      <c r="K89" s="45"/>
      <c r="L89" s="45"/>
      <c r="N89" s="35">
        <f t="shared" si="6"/>
        <v>0</v>
      </c>
    </row>
    <row r="90" spans="1:14" x14ac:dyDescent="0.25">
      <c r="A90" s="45"/>
      <c r="B90" s="803"/>
      <c r="C90" s="803" t="s">
        <v>53</v>
      </c>
      <c r="D90" s="805"/>
      <c r="E90" s="803" t="s">
        <v>53</v>
      </c>
      <c r="F90" s="1739"/>
      <c r="G90" s="2103"/>
      <c r="H90" s="45"/>
      <c r="I90" s="45"/>
      <c r="J90" s="45"/>
      <c r="K90" s="45"/>
      <c r="L90" s="45"/>
      <c r="N90" s="35">
        <f t="shared" si="6"/>
        <v>0</v>
      </c>
    </row>
    <row r="91" spans="1:14" x14ac:dyDescent="0.25">
      <c r="A91" s="45"/>
      <c r="B91" s="803"/>
      <c r="C91" s="803" t="s">
        <v>53</v>
      </c>
      <c r="D91" s="805"/>
      <c r="E91" s="803" t="s">
        <v>53</v>
      </c>
      <c r="F91" s="1739"/>
      <c r="G91" s="2103"/>
      <c r="H91" s="45"/>
      <c r="I91" s="45"/>
      <c r="J91" s="45"/>
      <c r="K91" s="45"/>
      <c r="L91" s="45"/>
      <c r="N91" s="35">
        <f t="shared" si="6"/>
        <v>0</v>
      </c>
    </row>
    <row r="92" spans="1:14" x14ac:dyDescent="0.25">
      <c r="A92" s="45"/>
      <c r="B92" s="803"/>
      <c r="C92" s="803" t="s">
        <v>53</v>
      </c>
      <c r="D92" s="805"/>
      <c r="E92" s="803" t="s">
        <v>53</v>
      </c>
      <c r="F92" s="1739"/>
      <c r="G92" s="2103"/>
      <c r="H92" s="45"/>
      <c r="I92" s="45"/>
      <c r="J92" s="45"/>
      <c r="K92" s="45"/>
      <c r="L92" s="45"/>
      <c r="N92" s="35">
        <f t="shared" si="6"/>
        <v>0</v>
      </c>
    </row>
    <row r="93" spans="1:14" x14ac:dyDescent="0.25">
      <c r="A93" s="45"/>
      <c r="B93" s="803"/>
      <c r="C93" s="803" t="s">
        <v>53</v>
      </c>
      <c r="D93" s="805"/>
      <c r="E93" s="803" t="s">
        <v>53</v>
      </c>
      <c r="F93" s="1739"/>
      <c r="G93" s="2103"/>
      <c r="H93" s="45"/>
      <c r="I93" s="45"/>
      <c r="J93" s="45"/>
      <c r="K93" s="45"/>
      <c r="L93" s="45"/>
      <c r="N93" s="35">
        <f t="shared" si="6"/>
        <v>0</v>
      </c>
    </row>
    <row r="94" spans="1:14" ht="19.5" customHeight="1" x14ac:dyDescent="0.25">
      <c r="A94" s="45"/>
      <c r="B94" s="46"/>
      <c r="C94" s="46"/>
      <c r="D94" s="46"/>
      <c r="E94" s="46"/>
      <c r="F94" s="46"/>
      <c r="G94" s="45"/>
      <c r="H94" s="45"/>
      <c r="I94" s="45"/>
      <c r="J94" s="45"/>
      <c r="K94" s="45"/>
      <c r="L94" s="45"/>
    </row>
    <row r="95" spans="1:14" ht="18.75" customHeight="1" x14ac:dyDescent="0.25">
      <c r="A95" s="45"/>
      <c r="B95" s="2108" t="s">
        <v>541</v>
      </c>
      <c r="C95" s="2108"/>
      <c r="D95" s="66">
        <f>IFERROR((SUM(N49:N68)+SUM(N74:N93))/(SUM(D49:D68)+SUM(D74:D93)),0)</f>
        <v>0</v>
      </c>
      <c r="E95" s="46"/>
      <c r="F95" s="45"/>
      <c r="G95" s="45"/>
      <c r="H95" s="45"/>
      <c r="I95" s="45"/>
      <c r="J95" s="45"/>
      <c r="K95" s="45"/>
      <c r="L95" s="45"/>
    </row>
    <row r="96" spans="1:14" ht="19.5" customHeight="1" x14ac:dyDescent="0.25">
      <c r="A96" s="45"/>
      <c r="B96" s="112"/>
      <c r="C96" s="46"/>
      <c r="D96" s="46"/>
      <c r="E96" s="46"/>
      <c r="F96" s="45"/>
      <c r="G96" s="45"/>
      <c r="H96" s="45"/>
      <c r="I96" s="45"/>
      <c r="J96" s="45"/>
      <c r="K96" s="45"/>
      <c r="L96" s="45"/>
    </row>
    <row r="97" spans="1:13" ht="18" customHeight="1" x14ac:dyDescent="0.25">
      <c r="A97" s="2107" t="s">
        <v>84</v>
      </c>
      <c r="B97" s="2107"/>
      <c r="C97" s="2107"/>
      <c r="D97" s="2107"/>
      <c r="E97" s="2107"/>
      <c r="F97" s="2107"/>
      <c r="G97" s="2107"/>
      <c r="H97" s="2107"/>
      <c r="I97" s="2107"/>
      <c r="J97" s="2107"/>
      <c r="K97" s="2107"/>
      <c r="L97" s="2107"/>
    </row>
    <row r="98" spans="1:13" x14ac:dyDescent="0.25">
      <c r="A98" s="45"/>
      <c r="B98" s="46"/>
      <c r="C98" s="46"/>
      <c r="D98" s="46"/>
      <c r="E98" s="45"/>
      <c r="F98" s="45"/>
      <c r="G98" s="45"/>
      <c r="H98" s="45"/>
      <c r="I98" s="45"/>
      <c r="J98" s="45"/>
      <c r="K98" s="45"/>
      <c r="L98" s="45"/>
    </row>
    <row r="99" spans="1:13" ht="21" customHeight="1" x14ac:dyDescent="0.25">
      <c r="A99" s="45"/>
      <c r="B99" s="2104" t="s">
        <v>1353</v>
      </c>
      <c r="C99" s="2105"/>
      <c r="D99" s="2105"/>
      <c r="E99" s="2105"/>
      <c r="F99" s="2105"/>
      <c r="G99" s="239" t="s">
        <v>907</v>
      </c>
      <c r="H99" s="2106" t="s">
        <v>908</v>
      </c>
      <c r="I99" s="2106"/>
      <c r="J99" s="45"/>
      <c r="K99" s="45"/>
      <c r="L99" s="45"/>
    </row>
    <row r="100" spans="1:13" ht="24" customHeight="1" x14ac:dyDescent="0.25">
      <c r="A100" s="45"/>
      <c r="B100" s="1648" t="str">
        <f>Submittals!G71</f>
        <v>• Elevations and plans marking all operable wall and roof openings with their size</v>
      </c>
      <c r="C100" s="1649"/>
      <c r="D100" s="1649"/>
      <c r="E100" s="1649"/>
      <c r="F100" s="1649"/>
      <c r="G100" s="1151" t="s">
        <v>53</v>
      </c>
      <c r="H100" s="1689"/>
      <c r="I100" s="1690"/>
      <c r="J100" s="45"/>
      <c r="K100" s="45"/>
      <c r="L100" s="45"/>
      <c r="M100" s="35" t="str">
        <f>IF(AND($D$41&lt;&gt;"Yes",$D$43&lt;&gt;"Yes"),"Yes",IF(OR(B100="/",B100="No evidence required at this submission stage"),"Yes",IF(G100="Submitted","Yes","No")))</f>
        <v>Yes</v>
      </c>
    </row>
    <row r="101" spans="1:13" ht="24" customHeight="1" x14ac:dyDescent="0.25">
      <c r="A101" s="45"/>
      <c r="B101" s="1648" t="str">
        <f>Submittals!G72</f>
        <v>• Photographs showing all operable wall and roof openings</v>
      </c>
      <c r="C101" s="1649"/>
      <c r="D101" s="1649"/>
      <c r="E101" s="1649"/>
      <c r="F101" s="1649"/>
      <c r="G101" s="643" t="s">
        <v>53</v>
      </c>
      <c r="H101" s="1689"/>
      <c r="I101" s="1690"/>
      <c r="J101" s="45"/>
      <c r="K101" s="45"/>
      <c r="L101" s="45"/>
      <c r="M101" s="35" t="str">
        <f>IF(AND($D$41&lt;&gt;"Yes",$D$43&lt;&gt;"Yes"),"Yes",IF(OR(B101="/",B101="No evidence required at this submission stage"),"Yes",IF(G101="Submitted","Yes","No")))</f>
        <v>Yes</v>
      </c>
    </row>
    <row r="102" spans="1:13" ht="18" customHeight="1" x14ac:dyDescent="0.25">
      <c r="A102" s="45"/>
      <c r="B102" s="45"/>
      <c r="C102" s="45"/>
      <c r="D102" s="45"/>
      <c r="E102" s="45"/>
      <c r="F102" s="45"/>
      <c r="G102" s="45"/>
      <c r="H102" s="45"/>
      <c r="I102" s="45"/>
      <c r="J102" s="45"/>
      <c r="K102" s="45"/>
      <c r="L102" s="45"/>
    </row>
    <row r="103" spans="1:13" ht="21" customHeight="1" x14ac:dyDescent="0.25">
      <c r="A103" s="45"/>
      <c r="B103" s="2104" t="s">
        <v>1354</v>
      </c>
      <c r="C103" s="2105"/>
      <c r="D103" s="2105"/>
      <c r="E103" s="2105"/>
      <c r="F103" s="2105"/>
      <c r="G103" s="806" t="s">
        <v>907</v>
      </c>
      <c r="H103" s="2106" t="s">
        <v>908</v>
      </c>
      <c r="I103" s="2106"/>
      <c r="J103" s="45"/>
      <c r="K103" s="45"/>
      <c r="L103" s="45"/>
    </row>
    <row r="104" spans="1:13" ht="24" customHeight="1" x14ac:dyDescent="0.25">
      <c r="A104" s="45"/>
      <c r="B104" s="1648" t="str">
        <f>Submittals!G73</f>
        <v>• As-built schematic mechanical drawings showing fresh air supply rates</v>
      </c>
      <c r="C104" s="1649" t="s">
        <v>540</v>
      </c>
      <c r="D104" s="1649"/>
      <c r="E104" s="1649"/>
      <c r="F104" s="1649"/>
      <c r="G104" s="803" t="s">
        <v>53</v>
      </c>
      <c r="H104" s="1689"/>
      <c r="I104" s="1690"/>
      <c r="J104" s="45"/>
      <c r="K104" s="45"/>
      <c r="L104" s="45"/>
      <c r="M104" s="35" t="str">
        <f>IF(AND($D$42&lt;&gt;"Yes",$D$43&lt;&gt;"Yes"),"Yes",IF(OR(B104="/",B104="No evidence required at this submission stage"),"Yes",IF(G104="Submitted","Yes","No")))</f>
        <v>Yes</v>
      </c>
    </row>
    <row r="105" spans="1:13" ht="24" customHeight="1" x14ac:dyDescent="0.25">
      <c r="A105" s="45"/>
      <c r="B105" s="1648" t="str">
        <f>Submittals!G74</f>
        <v xml:space="preserve">• Calculations demonstrating that the requirements of the recognized standard selected are met </v>
      </c>
      <c r="C105" s="1649" t="s">
        <v>540</v>
      </c>
      <c r="D105" s="1649"/>
      <c r="E105" s="1649"/>
      <c r="F105" s="1649"/>
      <c r="G105" s="1151" t="s">
        <v>53</v>
      </c>
      <c r="H105" s="1689"/>
      <c r="I105" s="1690"/>
      <c r="J105" s="45"/>
      <c r="K105" s="45"/>
      <c r="L105" s="45"/>
      <c r="M105" s="35" t="str">
        <f>IF(AND($D$42&lt;&gt;"Yes",$D$43&lt;&gt;"Yes"),"Yes",IF(OR(B105="/",B105="No evidence required at this submission stage"),"Yes",IF(G105="Submitted","Yes","No")))</f>
        <v>Yes</v>
      </c>
    </row>
    <row r="106" spans="1:13" ht="24" customHeight="1" x14ac:dyDescent="0.25">
      <c r="A106" s="45"/>
      <c r="B106" s="1648" t="str">
        <f>Submittals!G75</f>
        <v>• Evidence of the HVAC equipment installed, such as photographs, invoices, receipts, commissioning report, etc.</v>
      </c>
      <c r="C106" s="1649" t="s">
        <v>540</v>
      </c>
      <c r="D106" s="1649"/>
      <c r="E106" s="1649"/>
      <c r="F106" s="1649"/>
      <c r="G106" s="803" t="s">
        <v>53</v>
      </c>
      <c r="H106" s="1689"/>
      <c r="I106" s="1690"/>
      <c r="J106" s="45"/>
      <c r="K106" s="45"/>
      <c r="L106" s="45"/>
      <c r="M106" s="35" t="str">
        <f>IF(AND($D$42&lt;&gt;"Yes",$D$43&lt;&gt;"Yes"),"Yes",IF(OR(B106="/",B106="No evidence required at this submission stage"),"Yes",IF(G106="Submitted","Yes","No")))</f>
        <v>Yes</v>
      </c>
    </row>
    <row r="107" spans="1:13" ht="19.5" customHeight="1" x14ac:dyDescent="0.25">
      <c r="A107" s="45"/>
      <c r="B107" s="46"/>
      <c r="C107" s="46"/>
      <c r="D107" s="46"/>
      <c r="E107" s="45"/>
      <c r="F107" s="45"/>
      <c r="G107" s="45"/>
      <c r="H107" s="45"/>
      <c r="I107" s="45"/>
      <c r="J107" s="45"/>
      <c r="K107" s="45"/>
      <c r="L107" s="45"/>
    </row>
    <row r="108" spans="1:13" ht="17.25" customHeight="1" x14ac:dyDescent="0.25">
      <c r="A108" s="2107" t="s">
        <v>5</v>
      </c>
      <c r="B108" s="2107"/>
      <c r="C108" s="2107"/>
      <c r="D108" s="2107"/>
      <c r="E108" s="2107"/>
      <c r="F108" s="2107"/>
      <c r="G108" s="2107"/>
      <c r="H108" s="2107"/>
      <c r="I108" s="2107"/>
      <c r="J108" s="2107"/>
      <c r="K108" s="2107"/>
      <c r="L108" s="2107"/>
    </row>
    <row r="109" spans="1:13" ht="16.5" customHeight="1" x14ac:dyDescent="0.25">
      <c r="A109" s="45"/>
      <c r="B109" s="46"/>
      <c r="C109" s="46"/>
      <c r="D109" s="46"/>
      <c r="E109" s="46"/>
      <c r="F109" s="45"/>
      <c r="G109" s="45"/>
      <c r="H109" s="45"/>
      <c r="I109" s="45"/>
      <c r="J109" s="45"/>
      <c r="K109" s="45"/>
      <c r="L109" s="45"/>
    </row>
    <row r="110" spans="1:13" ht="18" customHeight="1" x14ac:dyDescent="0.25">
      <c r="A110" s="45"/>
      <c r="B110" s="107" t="s">
        <v>16</v>
      </c>
      <c r="C110" s="108">
        <f>IF(AND(D41&lt;&gt;"Yes",D42&lt;&gt;"Yes",D43&lt;&gt;"Yes"),0,IF(D95&gt;=0.95,1,0))</f>
        <v>0</v>
      </c>
      <c r="D110" s="46"/>
      <c r="E110" s="45"/>
      <c r="F110" s="45"/>
      <c r="G110" s="45"/>
      <c r="H110" s="45"/>
      <c r="I110" s="45"/>
      <c r="J110" s="45"/>
      <c r="K110" s="45"/>
      <c r="L110" s="45"/>
    </row>
    <row r="111" spans="1:13" ht="18" customHeight="1" x14ac:dyDescent="0.25">
      <c r="A111" s="45"/>
      <c r="B111" s="109" t="s">
        <v>133</v>
      </c>
      <c r="C111" s="108" t="str">
        <f>IF(AND(COUNTIF(M100:M106,"Yes")=5,C110&gt;0),"Yes","No")</f>
        <v>No</v>
      </c>
      <c r="D111" s="46"/>
      <c r="E111" s="46"/>
      <c r="F111" s="45"/>
      <c r="G111" s="45"/>
      <c r="H111" s="45"/>
      <c r="I111" s="45"/>
      <c r="J111" s="45"/>
      <c r="K111" s="45"/>
      <c r="L111" s="45"/>
    </row>
    <row r="112" spans="1:13" ht="18" customHeight="1" x14ac:dyDescent="0.25">
      <c r="A112" s="45"/>
      <c r="B112" s="46"/>
      <c r="C112" s="46"/>
      <c r="D112" s="46"/>
      <c r="E112" s="46"/>
      <c r="F112" s="45"/>
      <c r="G112" s="45"/>
      <c r="H112" s="45"/>
      <c r="I112" s="45"/>
      <c r="J112" s="45"/>
      <c r="K112" s="45"/>
      <c r="L112" s="45"/>
    </row>
    <row r="113" spans="11:12" hidden="1" x14ac:dyDescent="0.25">
      <c r="K113" s="45"/>
      <c r="L113" s="45"/>
    </row>
    <row r="114" spans="11:12" hidden="1" x14ac:dyDescent="0.25">
      <c r="K114" s="45"/>
      <c r="L114" s="45"/>
    </row>
    <row r="115" spans="11:12" hidden="1" x14ac:dyDescent="0.25">
      <c r="K115" s="45"/>
      <c r="L115" s="45"/>
    </row>
    <row r="116" spans="11:12" ht="15" hidden="1" customHeight="1" x14ac:dyDescent="0.25"/>
    <row r="117" spans="11:12" ht="15" hidden="1" customHeight="1" x14ac:dyDescent="0.25"/>
    <row r="118" spans="11:12" ht="15" hidden="1" customHeight="1" x14ac:dyDescent="0.25"/>
    <row r="119" spans="11:12" ht="15" hidden="1" customHeight="1" x14ac:dyDescent="0.25"/>
    <row r="120" spans="11:12" ht="15" hidden="1" customHeight="1" x14ac:dyDescent="0.25"/>
    <row r="121" spans="11:12" ht="15" hidden="1" customHeight="1" x14ac:dyDescent="0.25"/>
    <row r="122" spans="11:12" ht="15" hidden="1" customHeight="1" x14ac:dyDescent="0.25"/>
    <row r="123" spans="11:12" ht="15" hidden="1" customHeight="1" x14ac:dyDescent="0.25"/>
    <row r="124" spans="11:12" ht="15" hidden="1" customHeight="1" x14ac:dyDescent="0.25"/>
    <row r="125" spans="11:12" ht="15" hidden="1" customHeight="1" x14ac:dyDescent="0.25"/>
    <row r="126" spans="11:12" ht="15" hidden="1" customHeight="1" x14ac:dyDescent="0.25"/>
    <row r="127" spans="11:12" ht="15" hidden="1" customHeight="1" x14ac:dyDescent="0.25"/>
    <row r="128" spans="11:12"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sheetData>
  <sheetProtection algorithmName="SHA-512" hashValue="n54ym6BnY5iFPI/u0L5EruE18ewJwq2MmW695YjBXrOY9EggAm8ALfogi5T4rmKTDv9ZnOKAnM7/cD0u1JSvdA==" saltValue="Nvxesc0CnKzqIPIyMnnohQ==" spinCount="100000" sheet="1" objects="1" scenarios="1" formatRows="0"/>
  <mergeCells count="75">
    <mergeCell ref="F92:G92"/>
    <mergeCell ref="F93:G93"/>
    <mergeCell ref="F87:G87"/>
    <mergeCell ref="F88:G88"/>
    <mergeCell ref="F89:G89"/>
    <mergeCell ref="F90:G90"/>
    <mergeCell ref="F91:G91"/>
    <mergeCell ref="F82:G82"/>
    <mergeCell ref="F83:G83"/>
    <mergeCell ref="F84:G84"/>
    <mergeCell ref="F85:G85"/>
    <mergeCell ref="F86:G86"/>
    <mergeCell ref="J49:K49"/>
    <mergeCell ref="A1:L1"/>
    <mergeCell ref="H2:I4"/>
    <mergeCell ref="B11:E11"/>
    <mergeCell ref="B12:E12"/>
    <mergeCell ref="A5:L7"/>
    <mergeCell ref="A9:L9"/>
    <mergeCell ref="A14:L14"/>
    <mergeCell ref="B22:J22"/>
    <mergeCell ref="A34:L34"/>
    <mergeCell ref="B38:H38"/>
    <mergeCell ref="B40:C40"/>
    <mergeCell ref="B41:C41"/>
    <mergeCell ref="B42:C42"/>
    <mergeCell ref="B43:C43"/>
    <mergeCell ref="A108:L108"/>
    <mergeCell ref="B45:H45"/>
    <mergeCell ref="B95:C95"/>
    <mergeCell ref="B99:F99"/>
    <mergeCell ref="B100:F100"/>
    <mergeCell ref="B101:F101"/>
    <mergeCell ref="H99:I99"/>
    <mergeCell ref="H100:I100"/>
    <mergeCell ref="H101:I101"/>
    <mergeCell ref="J68:K68"/>
    <mergeCell ref="J48:K48"/>
    <mergeCell ref="J65:K65"/>
    <mergeCell ref="J64:K64"/>
    <mergeCell ref="A97:L97"/>
    <mergeCell ref="J67:K67"/>
    <mergeCell ref="J50:K50"/>
    <mergeCell ref="J51:K51"/>
    <mergeCell ref="B103:F103"/>
    <mergeCell ref="H103:I103"/>
    <mergeCell ref="B104:F104"/>
    <mergeCell ref="J52:K52"/>
    <mergeCell ref="J53:K53"/>
    <mergeCell ref="J59:K59"/>
    <mergeCell ref="J60:K60"/>
    <mergeCell ref="J61:K61"/>
    <mergeCell ref="J54:K54"/>
    <mergeCell ref="J55:K55"/>
    <mergeCell ref="J56:K56"/>
    <mergeCell ref="J57:K57"/>
    <mergeCell ref="J58:K58"/>
    <mergeCell ref="F73:G73"/>
    <mergeCell ref="F74:G74"/>
    <mergeCell ref="B106:F106"/>
    <mergeCell ref="H104:I104"/>
    <mergeCell ref="H106:I106"/>
    <mergeCell ref="J66:K66"/>
    <mergeCell ref="J62:K62"/>
    <mergeCell ref="B70:H70"/>
    <mergeCell ref="J63:K63"/>
    <mergeCell ref="B105:F105"/>
    <mergeCell ref="H105:I105"/>
    <mergeCell ref="F75:G75"/>
    <mergeCell ref="F76:G76"/>
    <mergeCell ref="F77:G77"/>
    <mergeCell ref="F78:G78"/>
    <mergeCell ref="F79:G79"/>
    <mergeCell ref="F80:G80"/>
    <mergeCell ref="F81:G81"/>
  </mergeCells>
  <conditionalFormatting sqref="G100:I101">
    <cfRule type="expression" dxfId="226" priority="7">
      <formula>$B100="No evidence required at this submission stage"</formula>
    </cfRule>
    <cfRule type="expression" dxfId="225" priority="8">
      <formula>$B100="/"</formula>
    </cfRule>
  </conditionalFormatting>
  <conditionalFormatting sqref="G104:I106">
    <cfRule type="expression" dxfId="224" priority="1">
      <formula>$B104="No evidence required at this submission stage"</formula>
    </cfRule>
    <cfRule type="expression" dxfId="223" priority="2">
      <formula>$B104="/"</formula>
    </cfRule>
  </conditionalFormatting>
  <dataValidations xWindow="560" yWindow="537" count="11">
    <dataValidation type="list" allowBlank="1" showInputMessage="1" showErrorMessage="1" sqref="C74:C93" xr:uid="{00000000-0002-0000-2000-000000000000}">
      <formula1>"Select, Mechanical ventilation,Mixed-mode ventilation"</formula1>
    </dataValidation>
    <dataValidation allowBlank="1" showInputMessage="1" showErrorMessage="1" prompt="Select the recognised standard on ventilation followed by the project and with which the occupied spaces are compliant." sqref="E73" xr:uid="{00000000-0002-0000-2000-000001000000}"/>
    <dataValidation allowBlank="1" showInputMessage="1" showErrorMessage="1" prompt="Example: _x000a_4 openings: 1 opening of 2 m2, 1 opening of 3m2 and 2 openings of 2.5 m2_x000a_Write information as follows:_x000a_&quot;1 OP1 - 2 m2_x000a_1 OP2 - 3 m2_x000a_2 OP3 - 2.5 m2&quot;" sqref="E48:E68" xr:uid="{00000000-0002-0000-2000-000002000000}"/>
    <dataValidation type="list" allowBlank="1" showInputMessage="1" showErrorMessage="1" prompt="(Only if the space has no direct openings to the outdoors )_x000a_Window or door connecting the room with an adjoining room that receives sufficient fresh air supply." sqref="H49:H68" xr:uid="{00000000-0002-0000-2000-000003000000}">
      <formula1>"Select, Yes, No"</formula1>
    </dataValidation>
    <dataValidation allowBlank="1" showInputMessage="1" showErrorMessage="1" prompt="(Only if the space has no direct openings to the outdoors )_x000a_Window or door connecting the room with an adjoining room that receives sufficient fresh air supply." sqref="H48" xr:uid="{00000000-0002-0000-2000-000004000000}"/>
    <dataValidation allowBlank="1" showInputMessage="1" showErrorMessage="1" prompt="(Only if fresh air supply not sufficient from openings to the outdoors)_x000a_Size of the window or door connecting this room with an adjoining room that receives sufficient fresh air supply" sqref="I48:I68" xr:uid="{00000000-0002-0000-2000-000005000000}"/>
    <dataValidation type="list" allowBlank="1" showInputMessage="1" showErrorMessage="1" sqref="G104:G106 G100:G101" xr:uid="{00000000-0002-0000-2000-000006000000}">
      <formula1>"Select,Submitted,Not submitted"</formula1>
    </dataValidation>
    <dataValidation type="list" allowBlank="1" showInputMessage="1" showErrorMessage="1" sqref="C49:C68" xr:uid="{00000000-0002-0000-2000-000007000000}">
      <formula1>"Select,Natural Ventilation, Mixed-mode ventilation"</formula1>
    </dataValidation>
    <dataValidation allowBlank="1" showInputMessage="1" showErrorMessage="1" prompt="If a standard not appearing in the list was followed, precise which one." sqref="F74:F93" xr:uid="{00000000-0002-0000-2000-000008000000}"/>
    <dataValidation type="list" allowBlank="1" showInputMessage="1" showErrorMessage="1" prompt="Select the recognised standard on ventilation followed by the project and with which the occupied spaces are compliant." sqref="E74:E93" xr:uid="{00000000-0002-0000-2000-000009000000}">
      <formula1>"Select, TCVN 5687:2010, CIBSE,ASHRAE 62.1 - 2007, ASHRAE 62.1 - 2010,, ASHRAE 62.1 - 2013, AS1668.2,other standard,No"</formula1>
    </dataValidation>
    <dataValidation type="list" allowBlank="1" showInputMessage="1" showErrorMessage="1" sqref="D41:D43" xr:uid="{00000000-0002-0000-2000-00000A000000}">
      <formula1>"Select,Yes,No"</formula1>
    </dataValidation>
  </dataValidations>
  <hyperlinks>
    <hyperlink ref="L3" location="'H&amp;C BPC'!B3" tooltip="H-BPC" display="H-BPC" xr:uid="{00000000-0004-0000-2000-000000000000}"/>
    <hyperlink ref="J2" location="'H-2 Low-VOC Emissions '!B3" tooltip="H-2" display="H-2" xr:uid="{00000000-0004-0000-2000-000001000000}"/>
    <hyperlink ref="J3" location="'H-3 Interior Plants'!B3" tooltip="H-3" display="H-3" xr:uid="{00000000-0004-0000-2000-000002000000}"/>
    <hyperlink ref="J4" location="'H-4 Green Cleaning'!B3" tooltip="H-4" display="H-4" xr:uid="{00000000-0004-0000-2000-000003000000}"/>
    <hyperlink ref="K2" location="'H-5 Daylighting'!B3" tooltip="H-5" display="H-5" xr:uid="{00000000-0004-0000-2000-000004000000}"/>
    <hyperlink ref="K3" location="'H-6 External Views'!B3" tooltip="H-6" display="H-6" xr:uid="{00000000-0004-0000-2000-000005000000}"/>
    <hyperlink ref="K4" location="'H-7 Thermal Comfort'!B3" tooltip="H-7" display="H-7" xr:uid="{00000000-0004-0000-2000-000006000000}"/>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943634"/>
  </sheetPr>
  <dimension ref="A1:P216"/>
  <sheetViews>
    <sheetView showRowColHeaders="0" workbookViewId="0">
      <pane ySplit="8" topLeftCell="A9" activePane="bottomLeft" state="frozen"/>
      <selection pane="bottomLeft" activeCell="A8" sqref="A8"/>
    </sheetView>
  </sheetViews>
  <sheetFormatPr defaultColWidth="0" defaultRowHeight="15" customHeight="1" zeroHeight="1" x14ac:dyDescent="0.25"/>
  <cols>
    <col min="1" max="1" width="4.42578125" style="35" customWidth="1"/>
    <col min="2" max="3" width="18.28515625" style="35" customWidth="1"/>
    <col min="4" max="6" width="18.42578125" style="35" customWidth="1"/>
    <col min="7" max="7" width="19.42578125" style="35" customWidth="1"/>
    <col min="8" max="8" width="22.140625" style="35" customWidth="1"/>
    <col min="9" max="9" width="13.5703125" style="35" customWidth="1"/>
    <col min="10" max="10" width="11.85546875" style="35" customWidth="1"/>
    <col min="11" max="13" width="7.7109375" style="35" customWidth="1"/>
    <col min="14" max="16384" width="9.140625" style="35" hidden="1"/>
  </cols>
  <sheetData>
    <row r="1" spans="1:14" ht="25.5" customHeight="1" x14ac:dyDescent="0.25">
      <c r="A1" s="2110" t="s">
        <v>2041</v>
      </c>
      <c r="B1" s="2110"/>
      <c r="C1" s="2110"/>
      <c r="D1" s="2110"/>
      <c r="E1" s="2110"/>
      <c r="F1" s="2110"/>
      <c r="G1" s="2110"/>
      <c r="H1" s="2110"/>
      <c r="I1" s="2110"/>
      <c r="J1" s="2110"/>
      <c r="K1" s="2110"/>
      <c r="L1" s="2110"/>
      <c r="M1" s="2110"/>
    </row>
    <row r="2" spans="1:14" ht="15" customHeight="1" x14ac:dyDescent="0.25">
      <c r="A2" s="45"/>
      <c r="B2" s="46"/>
      <c r="C2" s="46"/>
      <c r="D2" s="46"/>
      <c r="E2" s="46"/>
      <c r="F2" s="45"/>
      <c r="G2" s="45"/>
      <c r="H2" s="1753" t="s">
        <v>2047</v>
      </c>
      <c r="I2" s="1753"/>
      <c r="J2" s="1753"/>
      <c r="K2" s="588" t="s">
        <v>26</v>
      </c>
      <c r="L2" s="588" t="s">
        <v>205</v>
      </c>
      <c r="M2" s="588"/>
    </row>
    <row r="3" spans="1:14" ht="15" customHeight="1" x14ac:dyDescent="0.25">
      <c r="A3" s="45"/>
      <c r="B3" s="46"/>
      <c r="C3" s="46"/>
      <c r="D3" s="46"/>
      <c r="E3" s="46"/>
      <c r="F3" s="45"/>
      <c r="G3" s="45"/>
      <c r="H3" s="1753"/>
      <c r="I3" s="1753"/>
      <c r="J3" s="1753"/>
      <c r="K3" s="588" t="s">
        <v>31</v>
      </c>
      <c r="L3" s="588" t="s">
        <v>255</v>
      </c>
      <c r="M3" s="588" t="s">
        <v>1686</v>
      </c>
    </row>
    <row r="4" spans="1:14" ht="15" customHeight="1" x14ac:dyDescent="0.25">
      <c r="A4" s="45"/>
      <c r="B4" s="46"/>
      <c r="C4" s="46"/>
      <c r="D4" s="46"/>
      <c r="E4" s="46"/>
      <c r="F4" s="45"/>
      <c r="G4" s="45"/>
      <c r="H4" s="1754"/>
      <c r="I4" s="1754"/>
      <c r="J4" s="1754"/>
      <c r="K4" s="588" t="s">
        <v>33</v>
      </c>
      <c r="L4" s="588" t="s">
        <v>256</v>
      </c>
      <c r="M4" s="588"/>
    </row>
    <row r="5" spans="1:14" ht="21" customHeight="1" x14ac:dyDescent="0.25">
      <c r="A5" s="1656" t="s">
        <v>2634</v>
      </c>
      <c r="B5" s="1657"/>
      <c r="C5" s="1657"/>
      <c r="D5" s="1657"/>
      <c r="E5" s="1657"/>
      <c r="F5" s="1657"/>
      <c r="G5" s="1657"/>
      <c r="H5" s="1657"/>
      <c r="I5" s="1657"/>
      <c r="J5" s="1657"/>
      <c r="K5" s="1657"/>
      <c r="L5" s="1657"/>
      <c r="M5" s="1657"/>
    </row>
    <row r="6" spans="1:14" ht="21" customHeight="1" x14ac:dyDescent="0.25">
      <c r="A6" s="1659"/>
      <c r="B6" s="1660"/>
      <c r="C6" s="1660"/>
      <c r="D6" s="1660"/>
      <c r="E6" s="1660"/>
      <c r="F6" s="1660"/>
      <c r="G6" s="1660"/>
      <c r="H6" s="1660"/>
      <c r="I6" s="1660"/>
      <c r="J6" s="1660"/>
      <c r="K6" s="1660"/>
      <c r="L6" s="1660"/>
      <c r="M6" s="1660"/>
    </row>
    <row r="7" spans="1:14" ht="21" customHeight="1" x14ac:dyDescent="0.25">
      <c r="A7" s="1662"/>
      <c r="B7" s="1663"/>
      <c r="C7" s="1663"/>
      <c r="D7" s="1663"/>
      <c r="E7" s="1663"/>
      <c r="F7" s="1663"/>
      <c r="G7" s="1663"/>
      <c r="H7" s="1663"/>
      <c r="I7" s="1663"/>
      <c r="J7" s="1663"/>
      <c r="K7" s="1663"/>
      <c r="L7" s="1663"/>
      <c r="M7" s="1663"/>
    </row>
    <row r="8" spans="1:14" ht="12" customHeight="1" x14ac:dyDescent="0.25">
      <c r="A8" s="45"/>
      <c r="B8" s="46"/>
      <c r="C8" s="46"/>
      <c r="D8" s="46"/>
      <c r="E8" s="46"/>
      <c r="F8" s="45"/>
      <c r="G8" s="45"/>
      <c r="H8" s="45"/>
      <c r="I8" s="45"/>
      <c r="J8" s="45"/>
      <c r="K8" s="45"/>
      <c r="L8" s="45"/>
      <c r="M8" s="45"/>
    </row>
    <row r="9" spans="1:14" ht="18" customHeight="1" x14ac:dyDescent="0.25">
      <c r="A9" s="2107" t="s">
        <v>82</v>
      </c>
      <c r="B9" s="2107"/>
      <c r="C9" s="2107"/>
      <c r="D9" s="2107"/>
      <c r="E9" s="2107"/>
      <c r="F9" s="2107"/>
      <c r="G9" s="2107"/>
      <c r="H9" s="2107"/>
      <c r="I9" s="2107"/>
      <c r="J9" s="2107"/>
      <c r="K9" s="2107"/>
      <c r="L9" s="2107"/>
      <c r="M9" s="2107"/>
    </row>
    <row r="10" spans="1:14" x14ac:dyDescent="0.25">
      <c r="A10" s="45"/>
      <c r="B10" s="46"/>
      <c r="C10" s="46"/>
      <c r="D10" s="46"/>
      <c r="E10" s="46"/>
      <c r="F10" s="45"/>
      <c r="G10" s="45"/>
      <c r="H10" s="45"/>
      <c r="I10" s="45"/>
      <c r="J10" s="45"/>
      <c r="K10" s="45"/>
      <c r="L10" s="45"/>
      <c r="M10" s="45"/>
    </row>
    <row r="11" spans="1:14" ht="21" customHeight="1" x14ac:dyDescent="0.25">
      <c r="A11" s="45"/>
      <c r="B11" s="2111" t="s">
        <v>83</v>
      </c>
      <c r="C11" s="2112"/>
      <c r="D11" s="2112"/>
      <c r="E11" s="2112"/>
      <c r="F11" s="541" t="s">
        <v>64</v>
      </c>
      <c r="G11" s="541" t="s">
        <v>16</v>
      </c>
      <c r="H11" s="47" t="s">
        <v>133</v>
      </c>
      <c r="I11" s="45"/>
      <c r="J11" s="45"/>
      <c r="K11" s="45"/>
      <c r="L11" s="45"/>
      <c r="M11" s="45"/>
    </row>
    <row r="12" spans="1:14" ht="26.25" customHeight="1" x14ac:dyDescent="0.25">
      <c r="A12" s="45"/>
      <c r="B12" s="2113" t="s">
        <v>2042</v>
      </c>
      <c r="C12" s="2114" t="s">
        <v>55</v>
      </c>
      <c r="D12" s="2114" t="s">
        <v>55</v>
      </c>
      <c r="E12" s="2115" t="s">
        <v>55</v>
      </c>
      <c r="F12" s="49">
        <v>1</v>
      </c>
      <c r="G12" s="126">
        <f>C69</f>
        <v>0</v>
      </c>
      <c r="H12" s="49" t="str">
        <f>C70</f>
        <v>No</v>
      </c>
      <c r="I12" s="45"/>
      <c r="J12" s="45"/>
      <c r="K12" s="45"/>
      <c r="L12" s="45"/>
      <c r="M12" s="45"/>
      <c r="N12" s="35" t="str">
        <f>IF(G12&lt;&gt;0,IF(H12="No","No","Yes"),"Yes")</f>
        <v>Yes</v>
      </c>
    </row>
    <row r="13" spans="1:14" ht="26.25" customHeight="1" x14ac:dyDescent="0.25">
      <c r="A13" s="45"/>
      <c r="B13" s="2113" t="s">
        <v>2043</v>
      </c>
      <c r="C13" s="2114" t="s">
        <v>56</v>
      </c>
      <c r="D13" s="2114" t="s">
        <v>56</v>
      </c>
      <c r="E13" s="2115" t="s">
        <v>56</v>
      </c>
      <c r="F13" s="49">
        <v>1</v>
      </c>
      <c r="G13" s="126">
        <f>C102</f>
        <v>0</v>
      </c>
      <c r="H13" s="49" t="str">
        <f>C103</f>
        <v>No</v>
      </c>
      <c r="I13" s="45"/>
      <c r="J13" s="45"/>
      <c r="K13" s="45"/>
      <c r="L13" s="45"/>
      <c r="M13" s="45"/>
      <c r="N13" s="35" t="str">
        <f>IF(G13&lt;&gt;0,IF(H13="No","No","Yes"),"Yes")</f>
        <v>Yes</v>
      </c>
    </row>
    <row r="14" spans="1:14" ht="26.25" customHeight="1" x14ac:dyDescent="0.25">
      <c r="A14" s="45"/>
      <c r="B14" s="2113" t="s">
        <v>2044</v>
      </c>
      <c r="C14" s="2114" t="s">
        <v>57</v>
      </c>
      <c r="D14" s="2114" t="s">
        <v>57</v>
      </c>
      <c r="E14" s="2115" t="s">
        <v>57</v>
      </c>
      <c r="F14" s="49">
        <v>1</v>
      </c>
      <c r="G14" s="137">
        <f>C140</f>
        <v>0</v>
      </c>
      <c r="H14" s="49" t="str">
        <f>C141</f>
        <v>No</v>
      </c>
      <c r="I14" s="45"/>
      <c r="J14" s="45"/>
      <c r="K14" s="45"/>
      <c r="L14" s="45"/>
      <c r="M14" s="45"/>
      <c r="N14" s="35" t="str">
        <f>IF(G14&lt;&gt;0,IF(H14="No","No","Yes"),"Yes")</f>
        <v>Yes</v>
      </c>
    </row>
    <row r="15" spans="1:14" ht="26.25" customHeight="1" x14ac:dyDescent="0.25">
      <c r="A15" s="45"/>
      <c r="B15" s="2113" t="s">
        <v>2045</v>
      </c>
      <c r="C15" s="2114" t="s">
        <v>58</v>
      </c>
      <c r="D15" s="2114" t="s">
        <v>58</v>
      </c>
      <c r="E15" s="2115" t="s">
        <v>58</v>
      </c>
      <c r="F15" s="49">
        <v>1</v>
      </c>
      <c r="G15" s="126">
        <f>C175</f>
        <v>0</v>
      </c>
      <c r="H15" s="49" t="str">
        <f>C176</f>
        <v>No</v>
      </c>
      <c r="I15" s="45"/>
      <c r="J15" s="45"/>
      <c r="K15" s="45"/>
      <c r="L15" s="45"/>
      <c r="M15" s="45"/>
      <c r="N15" s="35" t="str">
        <f>IF(G15&lt;&gt;0,IF(H15="No","No","Yes"),"Yes")</f>
        <v>Yes</v>
      </c>
    </row>
    <row r="16" spans="1:14" ht="26.25" customHeight="1" x14ac:dyDescent="0.25">
      <c r="A16" s="45"/>
      <c r="B16" s="2113" t="s">
        <v>2046</v>
      </c>
      <c r="C16" s="2114" t="s">
        <v>58</v>
      </c>
      <c r="D16" s="2114" t="s">
        <v>58</v>
      </c>
      <c r="E16" s="2115" t="s">
        <v>58</v>
      </c>
      <c r="F16" s="281">
        <v>1</v>
      </c>
      <c r="G16" s="281">
        <f>C211</f>
        <v>0</v>
      </c>
      <c r="H16" s="281" t="str">
        <f>C212</f>
        <v>No</v>
      </c>
      <c r="I16" s="45"/>
      <c r="J16" s="45"/>
      <c r="K16" s="45"/>
      <c r="L16" s="45"/>
      <c r="M16" s="45"/>
      <c r="N16" s="35" t="str">
        <f>IF(G16&lt;&gt;0,IF(H16="No","No","Yes"),"Yes")</f>
        <v>Yes</v>
      </c>
    </row>
    <row r="17" spans="1:13" ht="21" customHeight="1" x14ac:dyDescent="0.25">
      <c r="A17" s="45"/>
      <c r="B17" s="1810" t="s">
        <v>25</v>
      </c>
      <c r="C17" s="1811"/>
      <c r="D17" s="1811"/>
      <c r="E17" s="1812"/>
      <c r="F17" s="498">
        <v>4</v>
      </c>
      <c r="G17" s="498">
        <f>MIN(4,G12+G13+G14+G15+G16)</f>
        <v>0</v>
      </c>
      <c r="H17" s="498" t="str">
        <f>IF(COUNTIF(H12:H16,"No")=5,"No",IF(COUNTIF(N12:N16,"Yes")=5,"Yes","No"))</f>
        <v>No</v>
      </c>
      <c r="I17" s="45"/>
      <c r="J17" s="45"/>
      <c r="K17" s="45"/>
      <c r="L17" s="45"/>
      <c r="M17" s="45"/>
    </row>
    <row r="18" spans="1:13" x14ac:dyDescent="0.25">
      <c r="A18" s="45"/>
      <c r="B18" s="46"/>
      <c r="C18" s="46"/>
      <c r="D18" s="46"/>
      <c r="E18" s="46"/>
      <c r="F18" s="45"/>
      <c r="G18" s="45"/>
      <c r="H18" s="45"/>
      <c r="I18" s="45"/>
      <c r="J18" s="45"/>
      <c r="K18" s="45"/>
      <c r="L18" s="45"/>
      <c r="M18" s="45"/>
    </row>
    <row r="19" spans="1:13" ht="18" customHeight="1" x14ac:dyDescent="0.25">
      <c r="A19" s="2107" t="s">
        <v>839</v>
      </c>
      <c r="B19" s="2107"/>
      <c r="C19" s="2107"/>
      <c r="D19" s="2107"/>
      <c r="E19" s="2107"/>
      <c r="F19" s="2107"/>
      <c r="G19" s="2107"/>
      <c r="H19" s="2107"/>
      <c r="I19" s="2107"/>
      <c r="J19" s="2107"/>
      <c r="K19" s="2107"/>
      <c r="L19" s="2107"/>
      <c r="M19" s="2107"/>
    </row>
    <row r="20" spans="1:13" x14ac:dyDescent="0.25">
      <c r="A20" s="45"/>
      <c r="B20" s="46"/>
      <c r="C20" s="46"/>
      <c r="D20" s="46"/>
      <c r="E20" s="46"/>
      <c r="F20" s="45"/>
      <c r="G20" s="45"/>
      <c r="H20" s="45"/>
      <c r="I20" s="45"/>
      <c r="J20" s="45"/>
      <c r="K20" s="45"/>
      <c r="L20" s="45"/>
      <c r="M20" s="45"/>
    </row>
    <row r="21" spans="1:13" x14ac:dyDescent="0.25">
      <c r="A21" s="45"/>
      <c r="B21" s="2118" t="s">
        <v>2353</v>
      </c>
      <c r="C21" s="2119"/>
      <c r="D21" s="2119"/>
      <c r="E21" s="2119"/>
      <c r="F21" s="2119"/>
      <c r="G21" s="2119"/>
      <c r="H21" s="2119"/>
      <c r="I21" s="2119"/>
      <c r="J21" s="2119"/>
      <c r="K21" s="2120"/>
      <c r="L21" s="45"/>
      <c r="M21" s="45"/>
    </row>
    <row r="22" spans="1:13" ht="26.25" customHeight="1" x14ac:dyDescent="0.25">
      <c r="A22" s="45"/>
      <c r="B22" s="2121" t="s">
        <v>2351</v>
      </c>
      <c r="C22" s="2122"/>
      <c r="D22" s="2122"/>
      <c r="E22" s="2122"/>
      <c r="F22" s="2122"/>
      <c r="G22" s="2122"/>
      <c r="H22" s="2122"/>
      <c r="I22" s="2122"/>
      <c r="J22" s="2122"/>
      <c r="K22" s="2123"/>
      <c r="L22" s="45"/>
      <c r="M22" s="45"/>
    </row>
    <row r="23" spans="1:13" ht="39" customHeight="1" x14ac:dyDescent="0.25">
      <c r="A23" s="45"/>
      <c r="B23" s="2121" t="s">
        <v>2352</v>
      </c>
      <c r="C23" s="2122"/>
      <c r="D23" s="2122"/>
      <c r="E23" s="2122"/>
      <c r="F23" s="2122"/>
      <c r="G23" s="2122"/>
      <c r="H23" s="2122"/>
      <c r="I23" s="2122"/>
      <c r="J23" s="2122"/>
      <c r="K23" s="2123"/>
      <c r="L23" s="45"/>
      <c r="M23" s="45"/>
    </row>
    <row r="24" spans="1:13" x14ac:dyDescent="0.25">
      <c r="A24" s="45"/>
      <c r="B24" s="2121" t="s">
        <v>2360</v>
      </c>
      <c r="C24" s="2122"/>
      <c r="D24" s="2122"/>
      <c r="E24" s="2122"/>
      <c r="F24" s="2122"/>
      <c r="G24" s="2122"/>
      <c r="H24" s="2122"/>
      <c r="I24" s="2122"/>
      <c r="J24" s="2122"/>
      <c r="K24" s="2123"/>
      <c r="L24" s="45"/>
      <c r="M24" s="45"/>
    </row>
    <row r="25" spans="1:13" ht="27" customHeight="1" x14ac:dyDescent="0.25">
      <c r="A25" s="45"/>
      <c r="B25" s="2121" t="s">
        <v>2358</v>
      </c>
      <c r="C25" s="2122"/>
      <c r="D25" s="2122"/>
      <c r="E25" s="2122"/>
      <c r="F25" s="2122"/>
      <c r="G25" s="2122"/>
      <c r="H25" s="2122"/>
      <c r="I25" s="2122"/>
      <c r="J25" s="2122"/>
      <c r="K25" s="2123"/>
      <c r="L25" s="45"/>
      <c r="M25" s="45"/>
    </row>
    <row r="26" spans="1:13" x14ac:dyDescent="0.25">
      <c r="A26" s="45"/>
      <c r="B26" s="2132" t="s">
        <v>2359</v>
      </c>
      <c r="C26" s="2133"/>
      <c r="D26" s="2133"/>
      <c r="E26" s="2133"/>
      <c r="F26" s="2133"/>
      <c r="G26" s="2133"/>
      <c r="H26" s="2133"/>
      <c r="I26" s="2133"/>
      <c r="J26" s="2133"/>
      <c r="K26" s="2134"/>
      <c r="L26" s="45"/>
      <c r="M26" s="45"/>
    </row>
    <row r="27" spans="1:13" ht="19.5" customHeight="1" x14ac:dyDescent="0.25">
      <c r="A27" s="45"/>
      <c r="B27" s="46"/>
      <c r="C27" s="46"/>
      <c r="D27" s="46"/>
      <c r="E27" s="46"/>
      <c r="F27" s="45"/>
      <c r="G27" s="45"/>
      <c r="H27" s="45"/>
      <c r="I27" s="45"/>
      <c r="J27" s="45"/>
      <c r="K27" s="45"/>
      <c r="L27" s="45"/>
      <c r="M27" s="45"/>
    </row>
    <row r="28" spans="1:13" x14ac:dyDescent="0.25">
      <c r="A28" s="45"/>
      <c r="B28" s="2118" t="s">
        <v>2354</v>
      </c>
      <c r="C28" s="2119"/>
      <c r="D28" s="2119"/>
      <c r="E28" s="2119"/>
      <c r="F28" s="2119"/>
      <c r="G28" s="2119"/>
      <c r="H28" s="2119"/>
      <c r="I28" s="2119"/>
      <c r="J28" s="2119"/>
      <c r="K28" s="2120"/>
      <c r="L28" s="45"/>
      <c r="M28" s="45"/>
    </row>
    <row r="29" spans="1:13" ht="26.25" customHeight="1" x14ac:dyDescent="0.25">
      <c r="A29" s="45"/>
      <c r="B29" s="2121" t="s">
        <v>2355</v>
      </c>
      <c r="C29" s="2122"/>
      <c r="D29" s="2122"/>
      <c r="E29" s="2122"/>
      <c r="F29" s="2122"/>
      <c r="G29" s="2122"/>
      <c r="H29" s="2122"/>
      <c r="I29" s="2122"/>
      <c r="J29" s="2122"/>
      <c r="K29" s="2123"/>
      <c r="L29" s="45"/>
      <c r="M29" s="45"/>
    </row>
    <row r="30" spans="1:13" x14ac:dyDescent="0.25">
      <c r="A30" s="45"/>
      <c r="B30" s="2121" t="s">
        <v>2357</v>
      </c>
      <c r="C30" s="2122"/>
      <c r="D30" s="2122"/>
      <c r="E30" s="2122"/>
      <c r="F30" s="2122"/>
      <c r="G30" s="2122"/>
      <c r="H30" s="2122"/>
      <c r="I30" s="2122"/>
      <c r="J30" s="2122"/>
      <c r="K30" s="2123"/>
      <c r="L30" s="45"/>
      <c r="M30" s="45"/>
    </row>
    <row r="31" spans="1:13" x14ac:dyDescent="0.25">
      <c r="A31" s="45"/>
      <c r="B31" s="2121" t="s">
        <v>2356</v>
      </c>
      <c r="C31" s="2122"/>
      <c r="D31" s="2122"/>
      <c r="E31" s="2122"/>
      <c r="F31" s="2122"/>
      <c r="G31" s="2122"/>
      <c r="H31" s="2122"/>
      <c r="I31" s="2122"/>
      <c r="J31" s="2122"/>
      <c r="K31" s="2123"/>
      <c r="L31" s="45"/>
      <c r="M31" s="45"/>
    </row>
    <row r="32" spans="1:13" x14ac:dyDescent="0.25">
      <c r="A32" s="45"/>
      <c r="B32" s="2121" t="s">
        <v>1418</v>
      </c>
      <c r="C32" s="2122"/>
      <c r="D32" s="2122"/>
      <c r="E32" s="2122"/>
      <c r="F32" s="2122"/>
      <c r="G32" s="2122"/>
      <c r="H32" s="2122"/>
      <c r="I32" s="2122"/>
      <c r="J32" s="2122"/>
      <c r="K32" s="2123"/>
      <c r="L32" s="45"/>
      <c r="M32" s="45"/>
    </row>
    <row r="33" spans="1:13" ht="27" customHeight="1" x14ac:dyDescent="0.25">
      <c r="A33" s="45"/>
      <c r="B33" s="2121" t="s">
        <v>2358</v>
      </c>
      <c r="C33" s="2122"/>
      <c r="D33" s="2122"/>
      <c r="E33" s="2122"/>
      <c r="F33" s="2122"/>
      <c r="G33" s="2122"/>
      <c r="H33" s="2122"/>
      <c r="I33" s="2122"/>
      <c r="J33" s="2122"/>
      <c r="K33" s="2123"/>
      <c r="L33" s="45"/>
      <c r="M33" s="45"/>
    </row>
    <row r="34" spans="1:13" x14ac:dyDescent="0.25">
      <c r="A34" s="45"/>
      <c r="B34" s="2121" t="s">
        <v>2359</v>
      </c>
      <c r="C34" s="2122"/>
      <c r="D34" s="2122"/>
      <c r="E34" s="2122"/>
      <c r="F34" s="2122"/>
      <c r="G34" s="2122"/>
      <c r="H34" s="2122"/>
      <c r="I34" s="2122"/>
      <c r="J34" s="2122"/>
      <c r="K34" s="2123"/>
      <c r="L34" s="45"/>
      <c r="M34" s="45"/>
    </row>
    <row r="35" spans="1:13" x14ac:dyDescent="0.25">
      <c r="A35" s="45"/>
      <c r="B35" s="2129" t="s">
        <v>789</v>
      </c>
      <c r="C35" s="2130"/>
      <c r="D35" s="2130"/>
      <c r="E35" s="2130"/>
      <c r="F35" s="2130"/>
      <c r="G35" s="2130"/>
      <c r="H35" s="2130"/>
      <c r="I35" s="2130"/>
      <c r="J35" s="2130"/>
      <c r="K35" s="2131"/>
      <c r="L35" s="45"/>
      <c r="M35" s="45"/>
    </row>
    <row r="36" spans="1:13" ht="18.75" customHeight="1" x14ac:dyDescent="0.25">
      <c r="A36" s="45"/>
      <c r="B36" s="46"/>
      <c r="C36" s="46"/>
      <c r="D36" s="46"/>
      <c r="E36" s="46"/>
      <c r="F36" s="45"/>
      <c r="G36" s="45"/>
      <c r="H36" s="45"/>
      <c r="I36" s="45"/>
      <c r="J36" s="45"/>
      <c r="K36" s="45"/>
      <c r="L36" s="45"/>
      <c r="M36" s="45"/>
    </row>
    <row r="37" spans="1:13" ht="18" customHeight="1" x14ac:dyDescent="0.25">
      <c r="A37" s="2107" t="s">
        <v>144</v>
      </c>
      <c r="B37" s="2107"/>
      <c r="C37" s="2107"/>
      <c r="D37" s="2107"/>
      <c r="E37" s="2107"/>
      <c r="F37" s="2107"/>
      <c r="G37" s="2107"/>
      <c r="H37" s="2107"/>
      <c r="I37" s="2107"/>
      <c r="J37" s="2107"/>
      <c r="K37" s="2107"/>
      <c r="L37" s="2107"/>
      <c r="M37" s="2107"/>
    </row>
    <row r="38" spans="1:13" x14ac:dyDescent="0.25">
      <c r="A38" s="45"/>
      <c r="B38" s="45"/>
      <c r="C38" s="45"/>
      <c r="D38" s="45"/>
      <c r="E38" s="46"/>
      <c r="F38" s="45"/>
      <c r="G38" s="45"/>
      <c r="H38" s="45"/>
      <c r="I38" s="45"/>
      <c r="J38" s="45"/>
      <c r="K38" s="45"/>
      <c r="L38" s="45"/>
      <c r="M38" s="45"/>
    </row>
    <row r="39" spans="1:13" ht="16.5" customHeight="1" x14ac:dyDescent="0.25">
      <c r="A39" s="2117" t="s">
        <v>102</v>
      </c>
      <c r="B39" s="2117"/>
      <c r="C39" s="2117"/>
      <c r="D39" s="45"/>
      <c r="E39" s="46"/>
      <c r="F39" s="45"/>
      <c r="G39" s="45"/>
      <c r="H39" s="45"/>
      <c r="I39" s="45"/>
      <c r="J39" s="45"/>
      <c r="K39" s="45"/>
      <c r="L39" s="45"/>
      <c r="M39" s="45"/>
    </row>
    <row r="40" spans="1:13" ht="12.75" customHeight="1" x14ac:dyDescent="0.25">
      <c r="A40" s="45"/>
      <c r="B40" s="45"/>
      <c r="C40" s="45"/>
      <c r="D40" s="45"/>
      <c r="E40" s="46"/>
      <c r="F40" s="45"/>
      <c r="G40" s="45"/>
      <c r="H40" s="45"/>
      <c r="I40" s="45"/>
      <c r="J40" s="45"/>
      <c r="K40" s="45"/>
      <c r="L40" s="45"/>
      <c r="M40" s="45"/>
    </row>
    <row r="41" spans="1:13" x14ac:dyDescent="0.25">
      <c r="A41" s="45"/>
      <c r="B41" s="565" t="s">
        <v>2362</v>
      </c>
      <c r="C41" s="46"/>
      <c r="D41" s="46"/>
      <c r="E41" s="46"/>
      <c r="F41" s="45"/>
      <c r="G41" s="45"/>
      <c r="H41" s="45"/>
      <c r="I41" s="45"/>
      <c r="J41" s="45"/>
      <c r="K41" s="45"/>
      <c r="L41" s="45"/>
      <c r="M41" s="45"/>
    </row>
    <row r="42" spans="1:13" ht="18" customHeight="1" x14ac:dyDescent="0.25">
      <c r="A42" s="45"/>
      <c r="B42" s="46"/>
      <c r="C42" s="46"/>
      <c r="D42" s="46"/>
      <c r="E42" s="46"/>
      <c r="F42" s="45"/>
      <c r="G42" s="45"/>
      <c r="H42" s="45"/>
      <c r="I42" s="45"/>
      <c r="J42" s="45"/>
      <c r="K42" s="45"/>
      <c r="L42" s="45"/>
      <c r="M42" s="45"/>
    </row>
    <row r="43" spans="1:13" x14ac:dyDescent="0.25">
      <c r="A43" s="45"/>
      <c r="B43" s="544" t="s">
        <v>785</v>
      </c>
      <c r="C43" s="46"/>
      <c r="D43" s="46"/>
      <c r="E43" s="46"/>
      <c r="F43" s="45"/>
      <c r="G43" s="45"/>
      <c r="H43" s="45"/>
      <c r="I43" s="45"/>
      <c r="J43" s="45"/>
      <c r="K43" s="45"/>
      <c r="L43" s="45"/>
      <c r="M43" s="45"/>
    </row>
    <row r="44" spans="1:13" ht="18" customHeight="1" x14ac:dyDescent="0.25">
      <c r="A44" s="45"/>
      <c r="B44" s="46"/>
      <c r="C44" s="46"/>
      <c r="D44" s="46"/>
      <c r="E44" s="46"/>
      <c r="F44" s="45"/>
      <c r="G44" s="45"/>
      <c r="H44" s="45"/>
      <c r="I44" s="45"/>
      <c r="J44" s="45"/>
      <c r="K44" s="45"/>
      <c r="L44" s="45"/>
      <c r="M44" s="45"/>
    </row>
    <row r="45" spans="1:13" ht="15" customHeight="1" x14ac:dyDescent="0.25">
      <c r="A45" s="45"/>
      <c r="B45" s="1836" t="s">
        <v>787</v>
      </c>
      <c r="C45" s="1836"/>
      <c r="D45" s="1836"/>
      <c r="E45" s="1836"/>
      <c r="F45" s="1836"/>
      <c r="G45" s="1836"/>
      <c r="H45" s="45"/>
      <c r="I45" s="45"/>
      <c r="J45" s="45"/>
      <c r="K45" s="45"/>
      <c r="L45" s="45"/>
      <c r="M45" s="45"/>
    </row>
    <row r="46" spans="1:13" ht="12" customHeight="1" x14ac:dyDescent="0.25">
      <c r="A46" s="45"/>
      <c r="B46" s="46"/>
      <c r="C46" s="46"/>
      <c r="D46" s="46"/>
      <c r="E46" s="46"/>
      <c r="F46" s="45"/>
      <c r="G46" s="45"/>
      <c r="H46" s="45"/>
      <c r="I46" s="45"/>
      <c r="J46" s="45"/>
      <c r="K46" s="45"/>
      <c r="L46" s="45"/>
      <c r="M46" s="45"/>
    </row>
    <row r="47" spans="1:13" ht="26.25" customHeight="1" x14ac:dyDescent="0.25">
      <c r="A47" s="45"/>
      <c r="B47" s="1178" t="s">
        <v>90</v>
      </c>
      <c r="C47" s="1177" t="s">
        <v>89</v>
      </c>
      <c r="D47" s="1177" t="s">
        <v>2051</v>
      </c>
      <c r="E47" s="1177" t="s">
        <v>173</v>
      </c>
      <c r="F47" s="1177" t="s">
        <v>91</v>
      </c>
      <c r="G47" s="1176" t="s">
        <v>77</v>
      </c>
      <c r="H47" s="2127" t="s">
        <v>12</v>
      </c>
      <c r="I47" s="2127"/>
      <c r="J47" s="2128"/>
      <c r="K47" s="45"/>
      <c r="L47" s="45"/>
      <c r="M47" s="45"/>
    </row>
    <row r="48" spans="1:13" x14ac:dyDescent="0.25">
      <c r="A48" s="45"/>
      <c r="B48" s="1174"/>
      <c r="C48" s="1175"/>
      <c r="D48" s="1174" t="s">
        <v>53</v>
      </c>
      <c r="E48" s="1175"/>
      <c r="F48" s="1175"/>
      <c r="G48" s="166" t="str">
        <f>IF(OR(D48="",D48="Select"),"",IF(OR(D48="Inherently non-emitting product",D48="Certified product",D48="Salvaged",D48="Compliant with CDPH Standard"),"Yes",IF(AND(E48&lt;&gt;"",F48&lt;&gt;""),IF(E48&lt;F48,"Yes","No"),"No")))</f>
        <v/>
      </c>
      <c r="H48" s="1634"/>
      <c r="I48" s="1634"/>
      <c r="J48" s="1634"/>
      <c r="K48" s="45"/>
      <c r="L48" s="45"/>
      <c r="M48" s="45"/>
    </row>
    <row r="49" spans="1:14" x14ac:dyDescent="0.25">
      <c r="A49" s="45"/>
      <c r="B49" s="1174"/>
      <c r="C49" s="1175"/>
      <c r="D49" s="1221" t="s">
        <v>53</v>
      </c>
      <c r="E49" s="1175"/>
      <c r="F49" s="1175"/>
      <c r="G49" s="166" t="str">
        <f t="shared" ref="G49:G57" si="0">IF(OR(D49="",D49="Select"),"",IF(OR(D49="Inherently non-emitting product",D49="Certified product",D49="Salvaged",D49="Compliant with CDPH Standard"),"Yes",IF(AND(E49&lt;&gt;"",F49&lt;&gt;""),IF(E49&lt;F49,"Yes","No"),"No")))</f>
        <v/>
      </c>
      <c r="H49" s="1634"/>
      <c r="I49" s="1634"/>
      <c r="J49" s="1634"/>
      <c r="K49" s="45"/>
      <c r="L49" s="45"/>
      <c r="M49" s="45"/>
    </row>
    <row r="50" spans="1:14" x14ac:dyDescent="0.25">
      <c r="A50" s="45"/>
      <c r="B50" s="1174"/>
      <c r="C50" s="1175"/>
      <c r="D50" s="1221" t="s">
        <v>53</v>
      </c>
      <c r="E50" s="1175"/>
      <c r="F50" s="1175"/>
      <c r="G50" s="166" t="str">
        <f t="shared" si="0"/>
        <v/>
      </c>
      <c r="H50" s="1634"/>
      <c r="I50" s="1634"/>
      <c r="J50" s="1634"/>
      <c r="K50" s="45"/>
      <c r="L50" s="45"/>
      <c r="M50" s="45"/>
    </row>
    <row r="51" spans="1:14" x14ac:dyDescent="0.25">
      <c r="A51" s="45"/>
      <c r="B51" s="1174"/>
      <c r="C51" s="1175"/>
      <c r="D51" s="1221" t="s">
        <v>53</v>
      </c>
      <c r="E51" s="1175"/>
      <c r="F51" s="1175"/>
      <c r="G51" s="166" t="str">
        <f t="shared" si="0"/>
        <v/>
      </c>
      <c r="H51" s="1634"/>
      <c r="I51" s="1634"/>
      <c r="J51" s="1634"/>
      <c r="K51" s="45"/>
      <c r="L51" s="45"/>
      <c r="M51" s="45"/>
    </row>
    <row r="52" spans="1:14" x14ac:dyDescent="0.25">
      <c r="A52" s="45"/>
      <c r="B52" s="1174"/>
      <c r="C52" s="1175"/>
      <c r="D52" s="1221" t="s">
        <v>53</v>
      </c>
      <c r="E52" s="1175"/>
      <c r="F52" s="1175"/>
      <c r="G52" s="166" t="str">
        <f t="shared" si="0"/>
        <v/>
      </c>
      <c r="H52" s="1634"/>
      <c r="I52" s="1634"/>
      <c r="J52" s="1634"/>
      <c r="K52" s="45"/>
      <c r="L52" s="45"/>
      <c r="M52" s="45"/>
    </row>
    <row r="53" spans="1:14" x14ac:dyDescent="0.25">
      <c r="A53" s="45"/>
      <c r="B53" s="1174"/>
      <c r="C53" s="1175"/>
      <c r="D53" s="1221" t="s">
        <v>53</v>
      </c>
      <c r="E53" s="1175"/>
      <c r="F53" s="1175"/>
      <c r="G53" s="166" t="str">
        <f t="shared" si="0"/>
        <v/>
      </c>
      <c r="H53" s="1634"/>
      <c r="I53" s="1634"/>
      <c r="J53" s="1634"/>
      <c r="K53" s="45"/>
      <c r="L53" s="45"/>
      <c r="M53" s="45"/>
    </row>
    <row r="54" spans="1:14" x14ac:dyDescent="0.25">
      <c r="A54" s="45"/>
      <c r="B54" s="1174"/>
      <c r="C54" s="99"/>
      <c r="D54" s="1221" t="s">
        <v>53</v>
      </c>
      <c r="E54" s="99"/>
      <c r="F54" s="99"/>
      <c r="G54" s="166" t="str">
        <f t="shared" si="0"/>
        <v/>
      </c>
      <c r="H54" s="1634"/>
      <c r="I54" s="1634"/>
      <c r="J54" s="1634"/>
      <c r="K54" s="45"/>
      <c r="L54" s="45"/>
      <c r="M54" s="45"/>
    </row>
    <row r="55" spans="1:14" x14ac:dyDescent="0.25">
      <c r="A55" s="45"/>
      <c r="B55" s="1174"/>
      <c r="C55" s="99"/>
      <c r="D55" s="1221" t="s">
        <v>53</v>
      </c>
      <c r="E55" s="99"/>
      <c r="F55" s="99"/>
      <c r="G55" s="166" t="str">
        <f t="shared" si="0"/>
        <v/>
      </c>
      <c r="H55" s="1634"/>
      <c r="I55" s="1634"/>
      <c r="J55" s="1634"/>
      <c r="K55" s="45"/>
      <c r="L55" s="45"/>
      <c r="M55" s="45"/>
    </row>
    <row r="56" spans="1:14" x14ac:dyDescent="0.25">
      <c r="A56" s="45"/>
      <c r="B56" s="1174"/>
      <c r="C56" s="99"/>
      <c r="D56" s="1221" t="s">
        <v>53</v>
      </c>
      <c r="E56" s="99"/>
      <c r="F56" s="99"/>
      <c r="G56" s="166" t="str">
        <f t="shared" si="0"/>
        <v/>
      </c>
      <c r="H56" s="1634"/>
      <c r="I56" s="1634"/>
      <c r="J56" s="1634"/>
      <c r="K56" s="45"/>
      <c r="L56" s="45"/>
      <c r="M56" s="45"/>
    </row>
    <row r="57" spans="1:14" x14ac:dyDescent="0.25">
      <c r="A57" s="45"/>
      <c r="B57" s="1174"/>
      <c r="C57" s="99"/>
      <c r="D57" s="1221" t="s">
        <v>53</v>
      </c>
      <c r="E57" s="99"/>
      <c r="F57" s="99"/>
      <c r="G57" s="166" t="str">
        <f t="shared" si="0"/>
        <v/>
      </c>
      <c r="H57" s="1634"/>
      <c r="I57" s="1634"/>
      <c r="J57" s="1634"/>
      <c r="K57" s="45"/>
      <c r="L57" s="45"/>
      <c r="M57" s="45"/>
    </row>
    <row r="58" spans="1:14" x14ac:dyDescent="0.25">
      <c r="A58" s="45"/>
      <c r="B58" s="46"/>
      <c r="C58" s="46"/>
      <c r="D58" s="46"/>
      <c r="E58" s="46"/>
      <c r="F58" s="45"/>
      <c r="G58" s="45"/>
      <c r="H58" s="45"/>
      <c r="I58" s="45"/>
      <c r="J58" s="45"/>
      <c r="K58" s="45"/>
      <c r="L58" s="45"/>
      <c r="M58" s="45"/>
    </row>
    <row r="59" spans="1:14" ht="18" customHeight="1" x14ac:dyDescent="0.25">
      <c r="A59" s="45"/>
      <c r="B59" s="2108" t="s">
        <v>92</v>
      </c>
      <c r="C59" s="2108"/>
      <c r="D59" s="66" t="str">
        <f>IF(COUNTBLANK(G48:G57)=10,"",IF(COUNTIF(G48:G57,"No")=0,"Yes","No"))</f>
        <v/>
      </c>
      <c r="E59" s="45"/>
      <c r="F59" s="45"/>
      <c r="G59" s="45"/>
      <c r="H59" s="45"/>
      <c r="I59" s="45"/>
      <c r="J59" s="45"/>
      <c r="K59" s="45"/>
      <c r="L59" s="45"/>
      <c r="M59" s="45"/>
    </row>
    <row r="60" spans="1:14" ht="19.5" customHeight="1" x14ac:dyDescent="0.25">
      <c r="A60" s="45"/>
      <c r="B60" s="46"/>
      <c r="C60" s="46"/>
      <c r="D60" s="46"/>
      <c r="E60" s="45"/>
      <c r="F60" s="45"/>
      <c r="G60" s="45"/>
      <c r="H60" s="45"/>
      <c r="I60" s="45"/>
      <c r="J60" s="45"/>
      <c r="K60" s="45"/>
      <c r="L60" s="45"/>
      <c r="M60" s="45"/>
    </row>
    <row r="61" spans="1:14" ht="16.5" customHeight="1" x14ac:dyDescent="0.25">
      <c r="A61" s="2117" t="s">
        <v>84</v>
      </c>
      <c r="B61" s="2117"/>
      <c r="C61" s="2117"/>
      <c r="D61" s="46"/>
      <c r="E61" s="46"/>
      <c r="F61" s="46"/>
      <c r="G61" s="46"/>
      <c r="H61" s="46"/>
      <c r="I61" s="46"/>
      <c r="J61" s="46"/>
      <c r="K61" s="46"/>
      <c r="L61" s="46"/>
      <c r="M61" s="46"/>
    </row>
    <row r="62" spans="1:14" x14ac:dyDescent="0.25">
      <c r="A62" s="45"/>
      <c r="B62" s="46"/>
      <c r="C62" s="46"/>
      <c r="D62" s="46"/>
      <c r="E62" s="45"/>
      <c r="F62" s="45"/>
      <c r="G62" s="45"/>
      <c r="H62" s="45"/>
      <c r="I62" s="45"/>
      <c r="J62" s="45"/>
      <c r="K62" s="45"/>
      <c r="L62" s="45"/>
      <c r="M62" s="45"/>
    </row>
    <row r="63" spans="1:14" ht="21" customHeight="1" x14ac:dyDescent="0.25">
      <c r="A63" s="45"/>
      <c r="B63" s="2104" t="s">
        <v>85</v>
      </c>
      <c r="C63" s="2105"/>
      <c r="D63" s="2105"/>
      <c r="E63" s="2105"/>
      <c r="F63" s="2105"/>
      <c r="G63" s="239" t="s">
        <v>907</v>
      </c>
      <c r="H63" s="2106" t="s">
        <v>908</v>
      </c>
      <c r="I63" s="2106"/>
      <c r="J63" s="45"/>
      <c r="K63" s="45"/>
      <c r="L63" s="45"/>
      <c r="M63" s="45"/>
    </row>
    <row r="64" spans="1:14" ht="30" customHeight="1" x14ac:dyDescent="0.25">
      <c r="A64" s="45"/>
      <c r="B64" s="1648" t="str">
        <f>Submittals!G76</f>
        <v>• For each low-VOC product, evidence showing that the products installed are low-VOC products such as manufacturer’s published data, certificate, test reports, etc.</v>
      </c>
      <c r="C64" s="1649" t="s">
        <v>218</v>
      </c>
      <c r="D64" s="1649"/>
      <c r="E64" s="1649"/>
      <c r="F64" s="1649"/>
      <c r="G64" s="643" t="s">
        <v>53</v>
      </c>
      <c r="H64" s="1689"/>
      <c r="I64" s="1690"/>
      <c r="J64" s="45"/>
      <c r="K64" s="45"/>
      <c r="L64" s="45"/>
      <c r="M64" s="45"/>
      <c r="N64" s="35" t="str">
        <f>IF(OR(B64="/",B64="No evidence required at this submission stage"),"Yes",IF(G64="Submitted","Yes","No"))</f>
        <v>No</v>
      </c>
    </row>
    <row r="65" spans="1:14" ht="30" customHeight="1" x14ac:dyDescent="0.25">
      <c r="A65" s="45"/>
      <c r="B65" s="1648" t="str">
        <f>Submittals!G77</f>
        <v>• Evidence showing that the low-VOC products have been installed such as invoices, receipts, delivery notes, etc.</v>
      </c>
      <c r="C65" s="1649" t="s">
        <v>218</v>
      </c>
      <c r="D65" s="1649"/>
      <c r="E65" s="1649"/>
      <c r="F65" s="1649"/>
      <c r="G65" s="643" t="s">
        <v>53</v>
      </c>
      <c r="H65" s="1689"/>
      <c r="I65" s="1690"/>
      <c r="J65" s="45"/>
      <c r="K65" s="45"/>
      <c r="L65" s="45"/>
      <c r="M65" s="45"/>
      <c r="N65" s="35" t="str">
        <f>IF(OR(B65="/",B65="No evidence required at this submission stage"),"Yes",IF(G65="Submitted","Yes","No"))</f>
        <v>No</v>
      </c>
    </row>
    <row r="66" spans="1:14" ht="16.5" customHeight="1" x14ac:dyDescent="0.25">
      <c r="A66" s="45"/>
      <c r="B66" s="46"/>
      <c r="C66" s="46"/>
      <c r="D66" s="46"/>
      <c r="E66" s="45"/>
      <c r="F66" s="45"/>
      <c r="G66" s="45"/>
      <c r="H66" s="45"/>
      <c r="I66" s="45"/>
      <c r="J66" s="45"/>
      <c r="K66" s="45"/>
      <c r="L66" s="45"/>
      <c r="M66" s="45"/>
    </row>
    <row r="67" spans="1:14" ht="16.5" customHeight="1" x14ac:dyDescent="0.25">
      <c r="A67" s="2117" t="s">
        <v>5</v>
      </c>
      <c r="B67" s="2117"/>
      <c r="C67" s="2117"/>
      <c r="D67" s="46"/>
      <c r="E67" s="45"/>
      <c r="F67" s="45"/>
      <c r="G67" s="45"/>
      <c r="H67" s="45"/>
      <c r="I67" s="45"/>
      <c r="J67" s="45"/>
      <c r="K67" s="45"/>
      <c r="L67" s="45"/>
      <c r="M67" s="45"/>
    </row>
    <row r="68" spans="1:14" ht="16.5" customHeight="1" x14ac:dyDescent="0.25">
      <c r="A68" s="45"/>
      <c r="B68" s="46"/>
      <c r="C68" s="46"/>
      <c r="D68" s="46"/>
      <c r="E68" s="45"/>
      <c r="F68" s="45"/>
      <c r="G68" s="45"/>
      <c r="H68" s="45"/>
      <c r="I68" s="45"/>
      <c r="J68" s="45"/>
      <c r="K68" s="45"/>
      <c r="L68" s="45"/>
      <c r="M68" s="45"/>
    </row>
    <row r="69" spans="1:14" ht="18.75" customHeight="1" x14ac:dyDescent="0.25">
      <c r="A69" s="45"/>
      <c r="B69" s="134" t="s">
        <v>16</v>
      </c>
      <c r="C69" s="8">
        <f>IF(D59="Yes",1,0)</f>
        <v>0</v>
      </c>
      <c r="D69" s="46"/>
      <c r="E69" s="45"/>
      <c r="F69" s="45"/>
      <c r="G69" s="45"/>
      <c r="H69" s="45"/>
      <c r="I69" s="45"/>
      <c r="J69" s="45"/>
      <c r="K69" s="45"/>
      <c r="L69" s="45"/>
      <c r="M69" s="45"/>
    </row>
    <row r="70" spans="1:14" ht="18.75" customHeight="1" x14ac:dyDescent="0.25">
      <c r="A70" s="45"/>
      <c r="B70" s="135" t="s">
        <v>133</v>
      </c>
      <c r="C70" s="8" t="str">
        <f>IF(AND(COUNTIF(N64:N65,"Yes")=2,C69&gt;0),"Yes","No")</f>
        <v>No</v>
      </c>
      <c r="D70" s="46"/>
      <c r="E70" s="45"/>
      <c r="F70" s="45"/>
      <c r="G70" s="45"/>
      <c r="H70" s="45"/>
      <c r="I70" s="45"/>
      <c r="J70" s="45"/>
      <c r="K70" s="45"/>
      <c r="L70" s="45"/>
      <c r="M70" s="45"/>
    </row>
    <row r="71" spans="1:14" ht="21.75" customHeight="1" x14ac:dyDescent="0.25">
      <c r="A71" s="45"/>
      <c r="B71" s="45"/>
      <c r="C71" s="45"/>
      <c r="D71" s="45"/>
      <c r="E71" s="45"/>
      <c r="F71" s="45"/>
      <c r="G71" s="45"/>
      <c r="H71" s="45"/>
      <c r="I71" s="45"/>
      <c r="J71" s="45"/>
      <c r="K71" s="45"/>
      <c r="L71" s="45"/>
      <c r="M71" s="45"/>
    </row>
    <row r="72" spans="1:14" ht="18.75" customHeight="1" x14ac:dyDescent="0.25">
      <c r="A72" s="2107" t="s">
        <v>145</v>
      </c>
      <c r="B72" s="2107"/>
      <c r="C72" s="2107"/>
      <c r="D72" s="2107"/>
      <c r="E72" s="2107"/>
      <c r="F72" s="2107"/>
      <c r="G72" s="2107"/>
      <c r="H72" s="2107"/>
      <c r="I72" s="2107"/>
      <c r="J72" s="2107"/>
      <c r="K72" s="2107"/>
      <c r="L72" s="2107"/>
      <c r="M72" s="2107"/>
    </row>
    <row r="73" spans="1:14" x14ac:dyDescent="0.25">
      <c r="A73" s="45"/>
      <c r="B73" s="45"/>
      <c r="C73" s="45"/>
      <c r="D73" s="45"/>
      <c r="E73" s="46"/>
      <c r="F73" s="45"/>
      <c r="G73" s="45"/>
      <c r="H73" s="45"/>
      <c r="I73" s="45"/>
      <c r="J73" s="45"/>
      <c r="K73" s="45"/>
      <c r="L73" s="45"/>
      <c r="M73" s="45"/>
    </row>
    <row r="74" spans="1:14" ht="16.5" customHeight="1" x14ac:dyDescent="0.25">
      <c r="A74" s="2117" t="s">
        <v>102</v>
      </c>
      <c r="B74" s="2117"/>
      <c r="C74" s="2117"/>
      <c r="D74" s="45"/>
      <c r="E74" s="46"/>
      <c r="F74" s="45"/>
      <c r="G74" s="45"/>
      <c r="H74" s="45"/>
      <c r="I74" s="45"/>
      <c r="J74" s="45"/>
      <c r="K74" s="45"/>
      <c r="L74" s="45"/>
      <c r="M74" s="45"/>
    </row>
    <row r="75" spans="1:14" ht="13.5" customHeight="1" x14ac:dyDescent="0.25">
      <c r="A75" s="45"/>
      <c r="B75" s="45"/>
      <c r="C75" s="45"/>
      <c r="D75" s="45"/>
      <c r="E75" s="46"/>
      <c r="F75" s="45"/>
      <c r="G75" s="45"/>
      <c r="H75" s="45"/>
      <c r="I75" s="45"/>
      <c r="J75" s="45"/>
      <c r="K75" s="45"/>
      <c r="L75" s="45"/>
      <c r="M75" s="45"/>
    </row>
    <row r="76" spans="1:14" x14ac:dyDescent="0.25">
      <c r="A76" s="45"/>
      <c r="B76" s="565" t="s">
        <v>2363</v>
      </c>
      <c r="C76" s="46"/>
      <c r="D76" s="46"/>
      <c r="E76" s="46"/>
      <c r="F76" s="45"/>
      <c r="G76" s="45"/>
      <c r="H76" s="45"/>
      <c r="I76" s="45"/>
      <c r="J76" s="45"/>
      <c r="K76" s="45"/>
      <c r="L76" s="45"/>
      <c r="M76" s="45"/>
    </row>
    <row r="77" spans="1:14" ht="18" customHeight="1" x14ac:dyDescent="0.25">
      <c r="A77" s="45"/>
      <c r="B77" s="46"/>
      <c r="C77" s="46"/>
      <c r="D77" s="46"/>
      <c r="E77" s="46"/>
      <c r="F77" s="45"/>
      <c r="G77" s="45"/>
      <c r="H77" s="45"/>
      <c r="I77" s="45"/>
      <c r="J77" s="45"/>
      <c r="K77" s="45"/>
      <c r="L77" s="45"/>
      <c r="M77" s="45"/>
    </row>
    <row r="78" spans="1:14" ht="15" customHeight="1" x14ac:dyDescent="0.25">
      <c r="A78" s="45"/>
      <c r="B78" s="1836" t="s">
        <v>786</v>
      </c>
      <c r="C78" s="1836"/>
      <c r="D78" s="1836"/>
      <c r="E78" s="1836"/>
      <c r="F78" s="1836"/>
      <c r="G78" s="1836"/>
      <c r="H78" s="45"/>
      <c r="I78" s="45"/>
      <c r="J78" s="45"/>
      <c r="K78" s="45"/>
      <c r="L78" s="45"/>
      <c r="M78" s="45"/>
    </row>
    <row r="79" spans="1:14" ht="12" customHeight="1" x14ac:dyDescent="0.25">
      <c r="A79" s="45"/>
      <c r="B79" s="46"/>
      <c r="C79" s="46"/>
      <c r="D79" s="46"/>
      <c r="E79" s="46"/>
      <c r="F79" s="45"/>
      <c r="G79" s="45"/>
      <c r="H79" s="45"/>
      <c r="I79" s="45"/>
      <c r="J79" s="45"/>
      <c r="K79" s="45"/>
      <c r="L79" s="45"/>
      <c r="M79" s="45"/>
    </row>
    <row r="80" spans="1:14" ht="27" customHeight="1" x14ac:dyDescent="0.25">
      <c r="A80" s="45"/>
      <c r="B80" s="1178" t="s">
        <v>90</v>
      </c>
      <c r="C80" s="1177" t="s">
        <v>93</v>
      </c>
      <c r="D80" s="1177" t="s">
        <v>2051</v>
      </c>
      <c r="E80" s="1177" t="s">
        <v>173</v>
      </c>
      <c r="F80" s="1177" t="s">
        <v>91</v>
      </c>
      <c r="G80" s="1176" t="s">
        <v>77</v>
      </c>
      <c r="H80" s="2127" t="s">
        <v>12</v>
      </c>
      <c r="I80" s="2127"/>
      <c r="J80" s="2128"/>
      <c r="K80" s="45"/>
      <c r="L80" s="45"/>
      <c r="M80" s="45"/>
    </row>
    <row r="81" spans="1:13" x14ac:dyDescent="0.25">
      <c r="A81" s="45"/>
      <c r="B81" s="1174"/>
      <c r="C81" s="1175"/>
      <c r="D81" s="1221" t="s">
        <v>53</v>
      </c>
      <c r="E81" s="1175"/>
      <c r="F81" s="1175"/>
      <c r="G81" s="166" t="str">
        <f>IF(OR(D81="",D81="Select"),"",IF(OR(D81="Inherently non-emitting product",D81="Certified product",D81="Salvaged",D81="Compliant with CDPH Standard"),"Yes",IF(AND(E81&lt;&gt;"",F81&lt;&gt;""),IF(E81&lt;F81,"Yes","No"),"No")))</f>
        <v/>
      </c>
      <c r="H81" s="1634"/>
      <c r="I81" s="1634"/>
      <c r="J81" s="1634"/>
      <c r="K81" s="45"/>
      <c r="L81" s="45"/>
      <c r="M81" s="45"/>
    </row>
    <row r="82" spans="1:13" x14ac:dyDescent="0.25">
      <c r="A82" s="45"/>
      <c r="B82" s="1174"/>
      <c r="C82" s="1175"/>
      <c r="D82" s="1221" t="s">
        <v>53</v>
      </c>
      <c r="E82" s="1175"/>
      <c r="F82" s="1175"/>
      <c r="G82" s="166" t="str">
        <f t="shared" ref="G82:G90" si="1">IF(OR(D82="",D82="Select"),"",IF(OR(D82="Inherently non-emitting product",D82="Certified product",D82="Salvaged",D82="Compliant with CDPH Standard"),"Yes",IF(AND(E82&lt;&gt;"",F82&lt;&gt;""),IF(E82&lt;F82,"Yes","No"),"No")))</f>
        <v/>
      </c>
      <c r="H82" s="1634"/>
      <c r="I82" s="1634"/>
      <c r="J82" s="1634"/>
      <c r="K82" s="45"/>
      <c r="L82" s="45"/>
      <c r="M82" s="45"/>
    </row>
    <row r="83" spans="1:13" x14ac:dyDescent="0.25">
      <c r="A83" s="45"/>
      <c r="B83" s="1174"/>
      <c r="C83" s="1175"/>
      <c r="D83" s="1221" t="s">
        <v>53</v>
      </c>
      <c r="E83" s="1175"/>
      <c r="F83" s="1175"/>
      <c r="G83" s="166" t="str">
        <f t="shared" si="1"/>
        <v/>
      </c>
      <c r="H83" s="1634"/>
      <c r="I83" s="1634"/>
      <c r="J83" s="1634"/>
      <c r="K83" s="45"/>
      <c r="L83" s="45"/>
      <c r="M83" s="45"/>
    </row>
    <row r="84" spans="1:13" x14ac:dyDescent="0.25">
      <c r="A84" s="45"/>
      <c r="B84" s="1174"/>
      <c r="C84" s="1175"/>
      <c r="D84" s="1221" t="s">
        <v>53</v>
      </c>
      <c r="E84" s="1175"/>
      <c r="F84" s="1175"/>
      <c r="G84" s="166" t="str">
        <f t="shared" si="1"/>
        <v/>
      </c>
      <c r="H84" s="1634"/>
      <c r="I84" s="1634"/>
      <c r="J84" s="1634"/>
      <c r="K84" s="45"/>
      <c r="L84" s="45"/>
      <c r="M84" s="45"/>
    </row>
    <row r="85" spans="1:13" x14ac:dyDescent="0.25">
      <c r="A85" s="45"/>
      <c r="B85" s="1174"/>
      <c r="C85" s="1175"/>
      <c r="D85" s="1221" t="s">
        <v>53</v>
      </c>
      <c r="E85" s="1175"/>
      <c r="F85" s="1175"/>
      <c r="G85" s="166" t="str">
        <f t="shared" si="1"/>
        <v/>
      </c>
      <c r="H85" s="1634"/>
      <c r="I85" s="1634"/>
      <c r="J85" s="1634"/>
      <c r="K85" s="45"/>
      <c r="L85" s="45"/>
      <c r="M85" s="45"/>
    </row>
    <row r="86" spans="1:13" x14ac:dyDescent="0.25">
      <c r="A86" s="45"/>
      <c r="B86" s="1174"/>
      <c r="C86" s="1175"/>
      <c r="D86" s="1221" t="s">
        <v>53</v>
      </c>
      <c r="E86" s="1175"/>
      <c r="F86" s="1175"/>
      <c r="G86" s="166" t="str">
        <f t="shared" si="1"/>
        <v/>
      </c>
      <c r="H86" s="1634"/>
      <c r="I86" s="1634"/>
      <c r="J86" s="1634"/>
      <c r="K86" s="45"/>
      <c r="L86" s="45"/>
      <c r="M86" s="45"/>
    </row>
    <row r="87" spans="1:13" x14ac:dyDescent="0.25">
      <c r="A87" s="45"/>
      <c r="B87" s="1174"/>
      <c r="C87" s="1175"/>
      <c r="D87" s="1221" t="s">
        <v>53</v>
      </c>
      <c r="E87" s="1175"/>
      <c r="F87" s="1175"/>
      <c r="G87" s="166" t="str">
        <f t="shared" si="1"/>
        <v/>
      </c>
      <c r="H87" s="1634"/>
      <c r="I87" s="1634"/>
      <c r="J87" s="1634"/>
      <c r="K87" s="45"/>
      <c r="L87" s="45"/>
      <c r="M87" s="45"/>
    </row>
    <row r="88" spans="1:13" x14ac:dyDescent="0.25">
      <c r="A88" s="45"/>
      <c r="B88" s="1174"/>
      <c r="C88" s="99"/>
      <c r="D88" s="1221" t="s">
        <v>53</v>
      </c>
      <c r="E88" s="99"/>
      <c r="F88" s="99"/>
      <c r="G88" s="166" t="str">
        <f t="shared" si="1"/>
        <v/>
      </c>
      <c r="H88" s="1634"/>
      <c r="I88" s="1634"/>
      <c r="J88" s="1634"/>
      <c r="K88" s="45"/>
      <c r="L88" s="45"/>
      <c r="M88" s="45"/>
    </row>
    <row r="89" spans="1:13" x14ac:dyDescent="0.25">
      <c r="A89" s="45"/>
      <c r="B89" s="1174"/>
      <c r="C89" s="99"/>
      <c r="D89" s="1221" t="s">
        <v>53</v>
      </c>
      <c r="E89" s="99"/>
      <c r="F89" s="99"/>
      <c r="G89" s="166" t="str">
        <f t="shared" si="1"/>
        <v/>
      </c>
      <c r="H89" s="1634"/>
      <c r="I89" s="1634"/>
      <c r="J89" s="1634"/>
      <c r="K89" s="45"/>
      <c r="L89" s="45"/>
      <c r="M89" s="45"/>
    </row>
    <row r="90" spans="1:13" x14ac:dyDescent="0.25">
      <c r="A90" s="45"/>
      <c r="B90" s="1174"/>
      <c r="C90" s="99"/>
      <c r="D90" s="1221" t="s">
        <v>53</v>
      </c>
      <c r="E90" s="99"/>
      <c r="F90" s="99"/>
      <c r="G90" s="166" t="str">
        <f t="shared" si="1"/>
        <v/>
      </c>
      <c r="H90" s="1634"/>
      <c r="I90" s="1634"/>
      <c r="J90" s="1634"/>
      <c r="K90" s="45"/>
      <c r="L90" s="45"/>
      <c r="M90" s="45"/>
    </row>
    <row r="91" spans="1:13" ht="16.5" customHeight="1" x14ac:dyDescent="0.25">
      <c r="A91" s="45"/>
      <c r="B91" s="46"/>
      <c r="C91" s="46"/>
      <c r="D91" s="46"/>
      <c r="E91" s="46"/>
      <c r="F91" s="45"/>
      <c r="G91" s="45"/>
      <c r="H91" s="45"/>
      <c r="I91" s="45"/>
      <c r="J91" s="45"/>
      <c r="K91" s="45"/>
      <c r="L91" s="45"/>
      <c r="M91" s="45"/>
    </row>
    <row r="92" spans="1:13" ht="18" customHeight="1" x14ac:dyDescent="0.25">
      <c r="A92" s="45"/>
      <c r="B92" s="2108" t="s">
        <v>94</v>
      </c>
      <c r="C92" s="2108"/>
      <c r="D92" s="66" t="str">
        <f>IF(COUNTBLANK(G81:G90)=10,"",IF(COUNTIF(G81:G90,"No")=0,"Yes","No"))</f>
        <v/>
      </c>
      <c r="E92" s="45"/>
      <c r="F92" s="45"/>
      <c r="G92" s="45"/>
      <c r="H92" s="45"/>
      <c r="I92" s="45"/>
      <c r="J92" s="45"/>
      <c r="K92" s="45"/>
      <c r="L92" s="45"/>
      <c r="M92" s="45"/>
    </row>
    <row r="93" spans="1:13" ht="20.25" customHeight="1" x14ac:dyDescent="0.25">
      <c r="A93" s="45"/>
      <c r="B93" s="46"/>
      <c r="C93" s="46"/>
      <c r="D93" s="46"/>
      <c r="E93" s="45"/>
      <c r="F93" s="45"/>
      <c r="G93" s="45"/>
      <c r="H93" s="45"/>
      <c r="I93" s="45"/>
      <c r="J93" s="45"/>
      <c r="K93" s="45"/>
      <c r="L93" s="45"/>
      <c r="M93" s="45"/>
    </row>
    <row r="94" spans="1:13" ht="16.5" customHeight="1" x14ac:dyDescent="0.25">
      <c r="A94" s="2117" t="s">
        <v>84</v>
      </c>
      <c r="B94" s="2117"/>
      <c r="C94" s="2117"/>
      <c r="D94" s="46"/>
      <c r="E94" s="46"/>
      <c r="F94" s="46"/>
      <c r="G94" s="46"/>
      <c r="H94" s="46"/>
      <c r="I94" s="46"/>
      <c r="J94" s="46"/>
      <c r="K94" s="46"/>
      <c r="L94" s="46"/>
      <c r="M94" s="46"/>
    </row>
    <row r="95" spans="1:13" x14ac:dyDescent="0.25">
      <c r="A95" s="45"/>
      <c r="B95" s="46"/>
      <c r="C95" s="46"/>
      <c r="D95" s="46"/>
      <c r="E95" s="45"/>
      <c r="F95" s="45"/>
      <c r="G95" s="45"/>
      <c r="H95" s="45"/>
      <c r="I95" s="45"/>
      <c r="J95" s="45"/>
      <c r="K95" s="45"/>
      <c r="L95" s="45"/>
      <c r="M95" s="45"/>
    </row>
    <row r="96" spans="1:13" ht="21" customHeight="1" x14ac:dyDescent="0.25">
      <c r="A96" s="45"/>
      <c r="B96" s="2104" t="s">
        <v>85</v>
      </c>
      <c r="C96" s="2105"/>
      <c r="D96" s="2105"/>
      <c r="E96" s="2105"/>
      <c r="F96" s="2105"/>
      <c r="G96" s="763" t="s">
        <v>907</v>
      </c>
      <c r="H96" s="2106" t="s">
        <v>908</v>
      </c>
      <c r="I96" s="2106"/>
      <c r="J96" s="45"/>
      <c r="K96" s="45"/>
      <c r="L96" s="45"/>
      <c r="M96" s="45"/>
    </row>
    <row r="97" spans="1:14" ht="30" customHeight="1" x14ac:dyDescent="0.25">
      <c r="A97" s="45"/>
      <c r="B97" s="1648" t="str">
        <f>Submittals!G76</f>
        <v>• For each low-VOC product, evidence showing that the products installed are low-VOC products such as manufacturer’s published data, certificate, test reports, etc.</v>
      </c>
      <c r="C97" s="1649" t="s">
        <v>218</v>
      </c>
      <c r="D97" s="1649"/>
      <c r="E97" s="1649"/>
      <c r="F97" s="1649"/>
      <c r="G97" s="761" t="s">
        <v>53</v>
      </c>
      <c r="H97" s="1689"/>
      <c r="I97" s="1690"/>
      <c r="J97" s="45"/>
      <c r="K97" s="45"/>
      <c r="L97" s="45"/>
      <c r="M97" s="45"/>
      <c r="N97" s="35" t="str">
        <f>IF(OR(B97="/",B97="No evidence required at this submission stage"),"Yes",IF(G97="Submitted","Yes","No"))</f>
        <v>No</v>
      </c>
    </row>
    <row r="98" spans="1:14" ht="30" customHeight="1" x14ac:dyDescent="0.25">
      <c r="A98" s="45"/>
      <c r="B98" s="1648" t="str">
        <f>Submittals!G77</f>
        <v>• Evidence showing that the low-VOC products have been installed such as invoices, receipts, delivery notes, etc.</v>
      </c>
      <c r="C98" s="1649" t="s">
        <v>218</v>
      </c>
      <c r="D98" s="1649"/>
      <c r="E98" s="1649"/>
      <c r="F98" s="1649"/>
      <c r="G98" s="761" t="s">
        <v>53</v>
      </c>
      <c r="H98" s="1689"/>
      <c r="I98" s="1690"/>
      <c r="J98" s="45"/>
      <c r="K98" s="45"/>
      <c r="L98" s="45"/>
      <c r="M98" s="45"/>
      <c r="N98" s="35" t="str">
        <f>IF(OR(B98="/",B98="No evidence required at this submission stage"),"Yes",IF(G98="Submitted","Yes","No"))</f>
        <v>No</v>
      </c>
    </row>
    <row r="99" spans="1:14" ht="20.25" customHeight="1" x14ac:dyDescent="0.25">
      <c r="A99" s="45"/>
      <c r="B99" s="46"/>
      <c r="C99" s="46"/>
      <c r="D99" s="46"/>
      <c r="E99" s="45"/>
      <c r="F99" s="45"/>
      <c r="G99" s="45"/>
      <c r="H99" s="45"/>
      <c r="I99" s="45"/>
      <c r="J99" s="45"/>
      <c r="K99" s="45"/>
      <c r="L99" s="45"/>
      <c r="M99" s="45"/>
    </row>
    <row r="100" spans="1:14" ht="16.5" customHeight="1" x14ac:dyDescent="0.25">
      <c r="A100" s="2117" t="s">
        <v>5</v>
      </c>
      <c r="B100" s="2117"/>
      <c r="C100" s="2117"/>
      <c r="D100" s="46"/>
      <c r="E100" s="45"/>
      <c r="F100" s="45"/>
      <c r="G100" s="45"/>
      <c r="H100" s="45"/>
      <c r="I100" s="45"/>
      <c r="J100" s="45"/>
      <c r="K100" s="45"/>
      <c r="L100" s="45"/>
      <c r="M100" s="45"/>
    </row>
    <row r="101" spans="1:14" ht="16.5" customHeight="1" x14ac:dyDescent="0.25">
      <c r="A101" s="45"/>
      <c r="B101" s="46"/>
      <c r="C101" s="46"/>
      <c r="D101" s="46"/>
      <c r="E101" s="45"/>
      <c r="F101" s="45"/>
      <c r="G101" s="45"/>
      <c r="H101" s="45"/>
      <c r="I101" s="45"/>
      <c r="J101" s="45"/>
      <c r="K101" s="45"/>
      <c r="L101" s="45"/>
      <c r="M101" s="45"/>
    </row>
    <row r="102" spans="1:14" ht="18" customHeight="1" x14ac:dyDescent="0.25">
      <c r="A102" s="45"/>
      <c r="B102" s="134" t="s">
        <v>16</v>
      </c>
      <c r="C102" s="8">
        <f>IF(D92="Yes",1,0)</f>
        <v>0</v>
      </c>
      <c r="D102" s="46"/>
      <c r="E102" s="45"/>
      <c r="F102" s="45"/>
      <c r="G102" s="45"/>
      <c r="H102" s="45"/>
      <c r="I102" s="45"/>
      <c r="J102" s="45"/>
      <c r="K102" s="45"/>
      <c r="L102" s="45"/>
      <c r="M102" s="45"/>
    </row>
    <row r="103" spans="1:14" ht="18" customHeight="1" x14ac:dyDescent="0.25">
      <c r="A103" s="45"/>
      <c r="B103" s="135" t="s">
        <v>133</v>
      </c>
      <c r="C103" s="8" t="str">
        <f>IF(AND(COUNTIF(N97:N98,"Yes")=2,C102&gt;0),"Yes","No")</f>
        <v>No</v>
      </c>
      <c r="D103" s="46"/>
      <c r="E103" s="45"/>
      <c r="F103" s="45"/>
      <c r="G103" s="45"/>
      <c r="H103" s="45"/>
      <c r="I103" s="45"/>
      <c r="J103" s="45"/>
      <c r="K103" s="45"/>
      <c r="L103" s="45"/>
      <c r="M103" s="45"/>
    </row>
    <row r="104" spans="1:14" ht="21.75" customHeight="1" x14ac:dyDescent="0.25">
      <c r="A104" s="45"/>
      <c r="B104" s="46"/>
      <c r="C104" s="46"/>
      <c r="D104" s="46"/>
      <c r="E104" s="45"/>
      <c r="F104" s="45"/>
      <c r="G104" s="45"/>
      <c r="H104" s="45"/>
      <c r="I104" s="45"/>
      <c r="J104" s="45"/>
      <c r="K104" s="45"/>
      <c r="L104" s="45"/>
      <c r="M104" s="45"/>
    </row>
    <row r="105" spans="1:14" ht="18.75" customHeight="1" x14ac:dyDescent="0.25">
      <c r="A105" s="2107" t="s">
        <v>146</v>
      </c>
      <c r="B105" s="2107"/>
      <c r="C105" s="2107"/>
      <c r="D105" s="2107"/>
      <c r="E105" s="2107"/>
      <c r="F105" s="2107"/>
      <c r="G105" s="2107"/>
      <c r="H105" s="2107"/>
      <c r="I105" s="2107"/>
      <c r="J105" s="2107"/>
      <c r="K105" s="2107"/>
      <c r="L105" s="2107"/>
      <c r="M105" s="2107"/>
    </row>
    <row r="106" spans="1:14" x14ac:dyDescent="0.25">
      <c r="A106" s="45"/>
      <c r="B106" s="45"/>
      <c r="C106" s="45"/>
      <c r="D106" s="45"/>
      <c r="E106" s="46"/>
      <c r="F106" s="45"/>
      <c r="G106" s="45"/>
      <c r="H106" s="45"/>
      <c r="I106" s="45"/>
      <c r="J106" s="45"/>
      <c r="K106" s="45"/>
      <c r="L106" s="45"/>
      <c r="M106" s="45"/>
    </row>
    <row r="107" spans="1:14" ht="16.5" customHeight="1" x14ac:dyDescent="0.25">
      <c r="A107" s="2117" t="s">
        <v>102</v>
      </c>
      <c r="B107" s="2117"/>
      <c r="C107" s="2117"/>
      <c r="D107" s="45"/>
      <c r="E107" s="46"/>
      <c r="F107" s="45"/>
      <c r="G107" s="45"/>
      <c r="H107" s="45"/>
      <c r="I107" s="45"/>
      <c r="J107" s="45"/>
      <c r="K107" s="45"/>
      <c r="L107" s="45"/>
      <c r="M107" s="45"/>
    </row>
    <row r="108" spans="1:14" ht="14.25" customHeight="1" x14ac:dyDescent="0.25">
      <c r="A108" s="45"/>
      <c r="B108" s="45"/>
      <c r="C108" s="45"/>
      <c r="D108" s="45"/>
      <c r="E108" s="46"/>
      <c r="F108" s="45"/>
      <c r="G108" s="45"/>
      <c r="H108" s="45"/>
      <c r="I108" s="45"/>
      <c r="J108" s="45"/>
      <c r="K108" s="45"/>
      <c r="L108" s="45"/>
      <c r="M108" s="45"/>
    </row>
    <row r="109" spans="1:14" x14ac:dyDescent="0.25">
      <c r="A109" s="45"/>
      <c r="B109" s="565" t="s">
        <v>2364</v>
      </c>
      <c r="C109" s="46"/>
      <c r="D109" s="46"/>
      <c r="E109" s="46"/>
      <c r="F109" s="45"/>
      <c r="G109" s="45"/>
      <c r="H109" s="45"/>
      <c r="I109" s="45"/>
      <c r="J109" s="45"/>
      <c r="K109" s="45"/>
      <c r="L109" s="45"/>
      <c r="M109" s="45"/>
    </row>
    <row r="110" spans="1:14" ht="18" customHeight="1" x14ac:dyDescent="0.25">
      <c r="A110" s="45"/>
      <c r="B110" s="46"/>
      <c r="C110" s="46"/>
      <c r="D110" s="46"/>
      <c r="E110" s="46"/>
      <c r="F110" s="45"/>
      <c r="G110" s="45"/>
      <c r="H110" s="45"/>
      <c r="I110" s="45"/>
      <c r="J110" s="45"/>
      <c r="K110" s="45"/>
      <c r="L110" s="45"/>
      <c r="M110" s="45"/>
    </row>
    <row r="111" spans="1:14" x14ac:dyDescent="0.25">
      <c r="A111" s="45"/>
      <c r="B111" s="544" t="s">
        <v>1459</v>
      </c>
      <c r="C111" s="46"/>
      <c r="D111" s="46"/>
      <c r="E111" s="46"/>
      <c r="F111" s="45"/>
      <c r="G111" s="45"/>
      <c r="H111" s="45"/>
      <c r="I111" s="45"/>
      <c r="J111" s="45"/>
      <c r="K111" s="45"/>
      <c r="L111" s="45"/>
      <c r="M111" s="45"/>
    </row>
    <row r="112" spans="1:14" x14ac:dyDescent="0.25">
      <c r="A112" s="45"/>
      <c r="B112" s="544" t="s">
        <v>788</v>
      </c>
      <c r="C112" s="46"/>
      <c r="D112" s="46"/>
      <c r="E112" s="46"/>
      <c r="F112" s="45"/>
      <c r="G112" s="45"/>
      <c r="H112" s="45"/>
      <c r="I112" s="45"/>
      <c r="J112" s="45"/>
      <c r="K112" s="45"/>
      <c r="L112" s="45"/>
      <c r="M112" s="45"/>
    </row>
    <row r="113" spans="1:14" ht="12.75" customHeight="1" x14ac:dyDescent="0.25">
      <c r="A113" s="45"/>
      <c r="B113" s="544"/>
      <c r="C113" s="46"/>
      <c r="D113" s="46"/>
      <c r="E113" s="46"/>
      <c r="F113" s="45"/>
      <c r="G113" s="45"/>
      <c r="H113" s="45"/>
      <c r="I113" s="45"/>
      <c r="J113" s="45"/>
      <c r="K113" s="45"/>
      <c r="L113" s="45"/>
      <c r="M113" s="45"/>
    </row>
    <row r="114" spans="1:14" x14ac:dyDescent="0.25">
      <c r="A114" s="45"/>
      <c r="B114" s="544" t="s">
        <v>2361</v>
      </c>
      <c r="C114" s="46"/>
      <c r="D114" s="46"/>
      <c r="E114" s="46"/>
      <c r="F114" s="45"/>
      <c r="G114" s="45"/>
      <c r="H114" s="45"/>
      <c r="I114" s="45"/>
      <c r="J114" s="45"/>
      <c r="K114" s="45"/>
      <c r="L114" s="45"/>
      <c r="M114" s="45"/>
    </row>
    <row r="115" spans="1:14" ht="18" customHeight="1" x14ac:dyDescent="0.25">
      <c r="A115" s="45"/>
      <c r="B115" s="46"/>
      <c r="C115" s="46"/>
      <c r="D115" s="46"/>
      <c r="E115" s="46"/>
      <c r="F115" s="45"/>
      <c r="G115" s="45"/>
      <c r="H115" s="45"/>
      <c r="I115" s="45"/>
      <c r="J115" s="45"/>
      <c r="K115" s="45"/>
      <c r="L115" s="45"/>
      <c r="M115" s="45"/>
    </row>
    <row r="116" spans="1:14" ht="15" customHeight="1" x14ac:dyDescent="0.25">
      <c r="A116" s="45"/>
      <c r="B116" s="1836" t="s">
        <v>1458</v>
      </c>
      <c r="C116" s="1836"/>
      <c r="D116" s="1836"/>
      <c r="E116" s="1836"/>
      <c r="F116" s="1836"/>
      <c r="G116" s="1836"/>
      <c r="H116" s="45"/>
      <c r="I116" s="45"/>
      <c r="J116" s="45"/>
      <c r="K116" s="45"/>
      <c r="L116" s="45"/>
      <c r="M116" s="45"/>
    </row>
    <row r="117" spans="1:14" ht="12" customHeight="1" x14ac:dyDescent="0.25">
      <c r="A117" s="45"/>
      <c r="B117" s="46"/>
      <c r="C117" s="46"/>
      <c r="D117" s="46"/>
      <c r="E117" s="45"/>
      <c r="F117" s="45"/>
      <c r="G117" s="45"/>
      <c r="H117" s="45"/>
      <c r="I117" s="45"/>
      <c r="J117" s="45"/>
      <c r="K117" s="45"/>
      <c r="L117" s="45"/>
      <c r="M117" s="45"/>
    </row>
    <row r="118" spans="1:14" ht="27" customHeight="1" x14ac:dyDescent="0.25">
      <c r="A118" s="45"/>
      <c r="B118" s="1178" t="s">
        <v>90</v>
      </c>
      <c r="C118" s="1177" t="s">
        <v>2058</v>
      </c>
      <c r="D118" s="1177" t="s">
        <v>2051</v>
      </c>
      <c r="E118" s="1177" t="s">
        <v>173</v>
      </c>
      <c r="F118" s="1177" t="s">
        <v>91</v>
      </c>
      <c r="G118" s="1176" t="s">
        <v>77</v>
      </c>
      <c r="H118" s="2127" t="s">
        <v>12</v>
      </c>
      <c r="I118" s="2127"/>
      <c r="J118" s="2128"/>
      <c r="K118" s="45"/>
      <c r="L118" s="45"/>
      <c r="M118" s="45"/>
      <c r="N118" s="45"/>
    </row>
    <row r="119" spans="1:14" x14ac:dyDescent="0.25">
      <c r="A119" s="45"/>
      <c r="B119" s="1174"/>
      <c r="C119" s="1175"/>
      <c r="D119" s="1221" t="s">
        <v>53</v>
      </c>
      <c r="E119" s="1175"/>
      <c r="F119" s="1175"/>
      <c r="G119" s="166" t="str">
        <f>IF(OR(D119="",D119="Select"),"",IF(OR(D119="Inherently non-emitting product",D119="Certified product",D119="Salvaged",D119="Compliant with CDPH Standard"),"Yes",IF(AND(E119&lt;&gt;"",F119&lt;&gt;""),IF(E119&lt;F119,"Yes","No"),"No")))</f>
        <v/>
      </c>
      <c r="H119" s="1634"/>
      <c r="I119" s="1634"/>
      <c r="J119" s="1634"/>
      <c r="K119" s="45"/>
      <c r="L119" s="45"/>
      <c r="M119" s="45"/>
      <c r="N119" s="45"/>
    </row>
    <row r="120" spans="1:14" x14ac:dyDescent="0.25">
      <c r="A120" s="45"/>
      <c r="B120" s="1174"/>
      <c r="C120" s="1175"/>
      <c r="D120" s="1221" t="s">
        <v>53</v>
      </c>
      <c r="E120" s="1175"/>
      <c r="F120" s="1175"/>
      <c r="G120" s="166" t="str">
        <f t="shared" ref="G120:G128" si="2">IF(OR(D120="",D120="Select"),"",IF(OR(D120="Inherently non-emitting product",D120="Certified product",D120="Salvaged",D120="Compliant with CDPH Standard"),"Yes",IF(AND(E120&lt;&gt;"",F120&lt;&gt;""),IF(E120&lt;F120,"Yes","No"),"No")))</f>
        <v/>
      </c>
      <c r="H120" s="1634"/>
      <c r="I120" s="1634"/>
      <c r="J120" s="1634"/>
      <c r="K120" s="45"/>
      <c r="L120" s="45"/>
      <c r="M120" s="45"/>
      <c r="N120" s="45"/>
    </row>
    <row r="121" spans="1:14" x14ac:dyDescent="0.25">
      <c r="A121" s="45"/>
      <c r="B121" s="1174"/>
      <c r="C121" s="1175"/>
      <c r="D121" s="1221" t="s">
        <v>53</v>
      </c>
      <c r="E121" s="1175"/>
      <c r="F121" s="1175"/>
      <c r="G121" s="166" t="str">
        <f t="shared" si="2"/>
        <v/>
      </c>
      <c r="H121" s="1634"/>
      <c r="I121" s="1634"/>
      <c r="J121" s="1634"/>
      <c r="K121" s="45"/>
      <c r="L121" s="45"/>
      <c r="M121" s="45"/>
      <c r="N121" s="45"/>
    </row>
    <row r="122" spans="1:14" x14ac:dyDescent="0.25">
      <c r="A122" s="45"/>
      <c r="B122" s="1174"/>
      <c r="C122" s="1175"/>
      <c r="D122" s="1221" t="s">
        <v>53</v>
      </c>
      <c r="E122" s="1175"/>
      <c r="F122" s="1175"/>
      <c r="G122" s="166" t="str">
        <f t="shared" si="2"/>
        <v/>
      </c>
      <c r="H122" s="1634"/>
      <c r="I122" s="1634"/>
      <c r="J122" s="1634"/>
      <c r="K122" s="45"/>
      <c r="L122" s="45"/>
      <c r="M122" s="45"/>
      <c r="N122" s="45"/>
    </row>
    <row r="123" spans="1:14" x14ac:dyDescent="0.25">
      <c r="A123" s="45"/>
      <c r="B123" s="1174"/>
      <c r="C123" s="1175"/>
      <c r="D123" s="1221" t="s">
        <v>53</v>
      </c>
      <c r="E123" s="1175"/>
      <c r="F123" s="1175"/>
      <c r="G123" s="166" t="str">
        <f t="shared" si="2"/>
        <v/>
      </c>
      <c r="H123" s="1634"/>
      <c r="I123" s="1634"/>
      <c r="J123" s="1634"/>
      <c r="K123" s="45"/>
      <c r="L123" s="45"/>
      <c r="M123" s="45"/>
      <c r="N123" s="45"/>
    </row>
    <row r="124" spans="1:14" x14ac:dyDescent="0.25">
      <c r="A124" s="45"/>
      <c r="B124" s="1174"/>
      <c r="C124" s="1175"/>
      <c r="D124" s="1221" t="s">
        <v>53</v>
      </c>
      <c r="E124" s="1175"/>
      <c r="F124" s="1175"/>
      <c r="G124" s="166" t="str">
        <f t="shared" si="2"/>
        <v/>
      </c>
      <c r="H124" s="1634"/>
      <c r="I124" s="1634"/>
      <c r="J124" s="1634"/>
      <c r="K124" s="45"/>
      <c r="L124" s="45"/>
      <c r="M124" s="45"/>
      <c r="N124" s="45"/>
    </row>
    <row r="125" spans="1:14" x14ac:dyDescent="0.25">
      <c r="A125" s="45"/>
      <c r="B125" s="1174"/>
      <c r="C125" s="1175"/>
      <c r="D125" s="1221" t="s">
        <v>53</v>
      </c>
      <c r="E125" s="1175"/>
      <c r="F125" s="1175"/>
      <c r="G125" s="166" t="str">
        <f t="shared" si="2"/>
        <v/>
      </c>
      <c r="H125" s="1634"/>
      <c r="I125" s="1634"/>
      <c r="J125" s="1634"/>
      <c r="K125" s="45"/>
      <c r="L125" s="45"/>
      <c r="M125" s="45"/>
      <c r="N125" s="45"/>
    </row>
    <row r="126" spans="1:14" x14ac:dyDescent="0.25">
      <c r="A126" s="45"/>
      <c r="B126" s="1174"/>
      <c r="C126" s="99"/>
      <c r="D126" s="1221" t="s">
        <v>53</v>
      </c>
      <c r="E126" s="99"/>
      <c r="F126" s="99"/>
      <c r="G126" s="166" t="str">
        <f t="shared" si="2"/>
        <v/>
      </c>
      <c r="H126" s="1634"/>
      <c r="I126" s="1634"/>
      <c r="J126" s="1634"/>
      <c r="K126" s="45"/>
      <c r="L126" s="45"/>
      <c r="M126" s="45"/>
      <c r="N126" s="45"/>
    </row>
    <row r="127" spans="1:14" x14ac:dyDescent="0.25">
      <c r="A127" s="45"/>
      <c r="B127" s="1174"/>
      <c r="C127" s="99"/>
      <c r="D127" s="1221" t="s">
        <v>53</v>
      </c>
      <c r="E127" s="99"/>
      <c r="F127" s="99"/>
      <c r="G127" s="166" t="str">
        <f t="shared" si="2"/>
        <v/>
      </c>
      <c r="H127" s="1634"/>
      <c r="I127" s="1634"/>
      <c r="J127" s="1634"/>
      <c r="K127" s="45"/>
      <c r="L127" s="45"/>
      <c r="M127" s="45"/>
      <c r="N127" s="45"/>
    </row>
    <row r="128" spans="1:14" x14ac:dyDescent="0.25">
      <c r="A128" s="45"/>
      <c r="B128" s="1174"/>
      <c r="C128" s="99"/>
      <c r="D128" s="1221" t="s">
        <v>53</v>
      </c>
      <c r="E128" s="99"/>
      <c r="F128" s="99"/>
      <c r="G128" s="166" t="str">
        <f t="shared" si="2"/>
        <v/>
      </c>
      <c r="H128" s="1634"/>
      <c r="I128" s="1634"/>
      <c r="J128" s="1634"/>
      <c r="K128" s="45"/>
      <c r="L128" s="45"/>
      <c r="M128" s="45"/>
      <c r="N128" s="45"/>
    </row>
    <row r="129" spans="1:14" ht="16.5" customHeight="1" x14ac:dyDescent="0.25">
      <c r="A129" s="45"/>
      <c r="B129" s="46"/>
      <c r="C129" s="46"/>
      <c r="D129" s="46"/>
      <c r="E129" s="46"/>
      <c r="F129" s="45"/>
      <c r="G129" s="45"/>
      <c r="H129" s="45"/>
      <c r="I129" s="45"/>
      <c r="J129" s="45"/>
      <c r="K129" s="45"/>
      <c r="L129" s="45"/>
      <c r="M129" s="45"/>
    </row>
    <row r="130" spans="1:14" ht="18" customHeight="1" x14ac:dyDescent="0.25">
      <c r="A130" s="45"/>
      <c r="B130" s="2108" t="s">
        <v>2057</v>
      </c>
      <c r="C130" s="2108"/>
      <c r="D130" s="66" t="str">
        <f>IF(COUNTBLANK(G119:G128)=10,"",IF(COUNTIF(G119:G128,"No")=0,"Yes","No"))</f>
        <v/>
      </c>
      <c r="E130" s="45"/>
      <c r="F130" s="45"/>
      <c r="G130" s="45"/>
      <c r="H130" s="45"/>
      <c r="I130" s="45"/>
      <c r="J130" s="45"/>
      <c r="K130" s="45"/>
      <c r="L130" s="45"/>
      <c r="M130" s="45"/>
    </row>
    <row r="131" spans="1:14" ht="18.75" customHeight="1" x14ac:dyDescent="0.25">
      <c r="A131" s="45"/>
      <c r="B131" s="46"/>
      <c r="C131" s="46"/>
      <c r="D131" s="46"/>
      <c r="E131" s="45"/>
      <c r="F131" s="45"/>
      <c r="G131" s="45"/>
      <c r="H131" s="45"/>
      <c r="I131" s="45"/>
      <c r="J131" s="45"/>
      <c r="K131" s="45"/>
      <c r="L131" s="45"/>
      <c r="M131" s="45"/>
    </row>
    <row r="132" spans="1:14" ht="16.5" customHeight="1" x14ac:dyDescent="0.25">
      <c r="A132" s="2117" t="s">
        <v>84</v>
      </c>
      <c r="B132" s="2117"/>
      <c r="C132" s="2117"/>
      <c r="D132" s="46"/>
      <c r="E132" s="46"/>
      <c r="F132" s="46"/>
      <c r="G132" s="46"/>
      <c r="H132" s="46"/>
      <c r="I132" s="46"/>
      <c r="J132" s="46"/>
      <c r="K132" s="46"/>
      <c r="L132" s="46"/>
      <c r="M132" s="46"/>
    </row>
    <row r="133" spans="1:14" x14ac:dyDescent="0.25">
      <c r="A133" s="45"/>
      <c r="B133" s="46"/>
      <c r="C133" s="46"/>
      <c r="D133" s="46"/>
      <c r="E133" s="45"/>
      <c r="F133" s="45"/>
      <c r="G133" s="45"/>
      <c r="H133" s="45"/>
      <c r="I133" s="45"/>
      <c r="J133" s="45"/>
      <c r="K133" s="45"/>
      <c r="L133" s="45"/>
      <c r="M133" s="45"/>
    </row>
    <row r="134" spans="1:14" ht="21" customHeight="1" x14ac:dyDescent="0.25">
      <c r="A134" s="45"/>
      <c r="B134" s="2104" t="s">
        <v>85</v>
      </c>
      <c r="C134" s="2105"/>
      <c r="D134" s="2105"/>
      <c r="E134" s="2105"/>
      <c r="F134" s="2105"/>
      <c r="G134" s="763" t="s">
        <v>907</v>
      </c>
      <c r="H134" s="2106" t="s">
        <v>908</v>
      </c>
      <c r="I134" s="2106"/>
      <c r="J134" s="45"/>
      <c r="K134" s="45"/>
      <c r="L134" s="45"/>
      <c r="M134" s="45"/>
    </row>
    <row r="135" spans="1:14" ht="30" customHeight="1" x14ac:dyDescent="0.25">
      <c r="A135" s="45"/>
      <c r="B135" s="1648" t="str">
        <f>Submittals!G78</f>
        <v>• For each low-VOC product, evidence showing that the products installed are low-VOC products such as manufacturer’s published data, certificate, test reports, etc.</v>
      </c>
      <c r="C135" s="1649" t="s">
        <v>218</v>
      </c>
      <c r="D135" s="1649"/>
      <c r="E135" s="1649"/>
      <c r="F135" s="1649"/>
      <c r="G135" s="761" t="s">
        <v>53</v>
      </c>
      <c r="H135" s="1689"/>
      <c r="I135" s="1690"/>
      <c r="J135" s="45"/>
      <c r="K135" s="45"/>
      <c r="L135" s="45"/>
      <c r="M135" s="45"/>
      <c r="N135" s="35" t="str">
        <f>IF(OR(B135="/",B135="No evidence required at this submission stage"),"Yes",IF(G135="Submitted","Yes","No"))</f>
        <v>No</v>
      </c>
    </row>
    <row r="136" spans="1:14" ht="30" customHeight="1" x14ac:dyDescent="0.25">
      <c r="A136" s="45"/>
      <c r="B136" s="1648" t="str">
        <f>Submittals!G79</f>
        <v>• Evidence showing that the low-VOC products have been installed such as invoices, receipts, delivery notes, etc.</v>
      </c>
      <c r="C136" s="1649" t="s">
        <v>218</v>
      </c>
      <c r="D136" s="1649"/>
      <c r="E136" s="1649"/>
      <c r="F136" s="1650"/>
      <c r="G136" s="761" t="s">
        <v>53</v>
      </c>
      <c r="H136" s="1689"/>
      <c r="I136" s="1690"/>
      <c r="J136" s="45"/>
      <c r="K136" s="45"/>
      <c r="L136" s="45"/>
      <c r="M136" s="45"/>
      <c r="N136" s="35" t="str">
        <f>IF(OR(B136="/",B136="No evidence required at this submission stage"),"Yes",IF(G136="Submitted","Yes","No"))</f>
        <v>No</v>
      </c>
    </row>
    <row r="137" spans="1:14" ht="19.5" customHeight="1" x14ac:dyDescent="0.25">
      <c r="A137" s="45"/>
      <c r="B137" s="46"/>
      <c r="C137" s="46"/>
      <c r="D137" s="46"/>
      <c r="E137" s="45"/>
      <c r="F137" s="45"/>
      <c r="G137" s="45"/>
      <c r="H137" s="45"/>
      <c r="I137" s="45"/>
      <c r="J137" s="45"/>
      <c r="K137" s="45"/>
      <c r="L137" s="45"/>
      <c r="M137" s="45"/>
    </row>
    <row r="138" spans="1:14" ht="16.5" customHeight="1" x14ac:dyDescent="0.25">
      <c r="A138" s="2117" t="s">
        <v>5</v>
      </c>
      <c r="B138" s="2117"/>
      <c r="C138" s="2117"/>
      <c r="D138" s="46"/>
      <c r="E138" s="45"/>
      <c r="F138" s="45"/>
      <c r="G138" s="45"/>
      <c r="H138" s="45"/>
      <c r="I138" s="45"/>
      <c r="J138" s="45"/>
      <c r="K138" s="45"/>
      <c r="L138" s="45"/>
      <c r="M138" s="45"/>
    </row>
    <row r="139" spans="1:14" ht="16.5" customHeight="1" x14ac:dyDescent="0.25">
      <c r="A139" s="45"/>
      <c r="B139" s="46"/>
      <c r="C139" s="46"/>
      <c r="D139" s="46"/>
      <c r="E139" s="45"/>
      <c r="F139" s="45"/>
      <c r="G139" s="45"/>
      <c r="H139" s="45"/>
      <c r="I139" s="45"/>
      <c r="J139" s="45"/>
      <c r="K139" s="45"/>
      <c r="L139" s="45"/>
      <c r="M139" s="45"/>
    </row>
    <row r="140" spans="1:14" ht="18" customHeight="1" x14ac:dyDescent="0.25">
      <c r="A140" s="45"/>
      <c r="B140" s="134" t="s">
        <v>16</v>
      </c>
      <c r="C140" s="8">
        <f>IF(D130="Yes",1,0)</f>
        <v>0</v>
      </c>
      <c r="D140" s="46"/>
      <c r="E140" s="45"/>
      <c r="F140" s="45"/>
      <c r="G140" s="45"/>
      <c r="H140" s="45"/>
      <c r="I140" s="45"/>
      <c r="J140" s="45"/>
      <c r="K140" s="45"/>
      <c r="L140" s="45"/>
      <c r="M140" s="45"/>
    </row>
    <row r="141" spans="1:14" ht="18" customHeight="1" x14ac:dyDescent="0.25">
      <c r="A141" s="45"/>
      <c r="B141" s="135" t="s">
        <v>133</v>
      </c>
      <c r="C141" s="8" t="str">
        <f>IF(AND(COUNTIF(N135:N136,"Yes")=2,C140&gt;0),"Yes","No")</f>
        <v>No</v>
      </c>
      <c r="D141" s="46"/>
      <c r="E141" s="45"/>
      <c r="F141" s="45"/>
      <c r="G141" s="45"/>
      <c r="H141" s="45"/>
      <c r="I141" s="45"/>
      <c r="J141" s="45"/>
      <c r="K141" s="45"/>
      <c r="L141" s="45"/>
      <c r="M141" s="45"/>
    </row>
    <row r="142" spans="1:14" ht="21" customHeight="1" x14ac:dyDescent="0.25">
      <c r="A142" s="45"/>
      <c r="B142" s="46"/>
      <c r="C142" s="46"/>
      <c r="D142" s="46"/>
      <c r="E142" s="45"/>
      <c r="F142" s="45"/>
      <c r="G142" s="45"/>
      <c r="H142" s="45"/>
      <c r="I142" s="45"/>
      <c r="J142" s="45"/>
      <c r="K142" s="45"/>
      <c r="L142" s="45"/>
      <c r="M142" s="45"/>
    </row>
    <row r="143" spans="1:14" ht="18" customHeight="1" x14ac:dyDescent="0.25">
      <c r="A143" s="2107" t="s">
        <v>437</v>
      </c>
      <c r="B143" s="2107"/>
      <c r="C143" s="2107"/>
      <c r="D143" s="2107"/>
      <c r="E143" s="2107"/>
      <c r="F143" s="2107"/>
      <c r="G143" s="2107"/>
      <c r="H143" s="2107"/>
      <c r="I143" s="2107"/>
      <c r="J143" s="2107"/>
      <c r="K143" s="2107"/>
      <c r="L143" s="2107"/>
      <c r="M143" s="2107"/>
    </row>
    <row r="144" spans="1:14" x14ac:dyDescent="0.25">
      <c r="A144" s="45"/>
      <c r="B144" s="45"/>
      <c r="C144" s="45"/>
      <c r="D144" s="45"/>
      <c r="E144" s="46"/>
      <c r="F144" s="45"/>
      <c r="G144" s="45"/>
      <c r="H144" s="45"/>
      <c r="I144" s="45"/>
      <c r="J144" s="45"/>
      <c r="K144" s="45"/>
      <c r="L144" s="45"/>
      <c r="M144" s="45"/>
    </row>
    <row r="145" spans="1:16" ht="16.5" customHeight="1" x14ac:dyDescent="0.25">
      <c r="A145" s="2117" t="s">
        <v>102</v>
      </c>
      <c r="B145" s="2117"/>
      <c r="C145" s="2117"/>
      <c r="D145" s="45"/>
      <c r="E145" s="46"/>
      <c r="F145" s="45"/>
      <c r="G145" s="45"/>
      <c r="H145" s="45"/>
      <c r="I145" s="45"/>
      <c r="J145" s="45"/>
      <c r="K145" s="45"/>
      <c r="L145" s="45"/>
      <c r="M145" s="45"/>
    </row>
    <row r="146" spans="1:16" x14ac:dyDescent="0.25">
      <c r="A146" s="45"/>
      <c r="B146" s="46"/>
      <c r="C146" s="46"/>
      <c r="D146" s="46"/>
      <c r="E146" s="45"/>
      <c r="F146" s="45"/>
      <c r="G146" s="45"/>
      <c r="H146" s="45"/>
      <c r="I146" s="45"/>
      <c r="J146" s="45"/>
      <c r="K146" s="45"/>
      <c r="L146" s="45"/>
      <c r="M146" s="45"/>
    </row>
    <row r="147" spans="1:16" ht="16.5" customHeight="1" x14ac:dyDescent="0.25">
      <c r="A147" s="45"/>
      <c r="B147" s="565" t="s">
        <v>2365</v>
      </c>
      <c r="C147" s="46"/>
      <c r="D147" s="46"/>
      <c r="E147" s="45"/>
      <c r="F147" s="45"/>
      <c r="G147" s="45"/>
      <c r="H147" s="45"/>
      <c r="I147" s="45"/>
      <c r="J147" s="45"/>
      <c r="K147" s="45"/>
      <c r="L147" s="45"/>
      <c r="M147" s="45"/>
    </row>
    <row r="148" spans="1:16" ht="16.5" customHeight="1" x14ac:dyDescent="0.25">
      <c r="A148" s="45"/>
      <c r="B148" s="545"/>
      <c r="C148" s="46"/>
      <c r="D148" s="46"/>
      <c r="E148" s="45"/>
      <c r="F148" s="45"/>
      <c r="G148" s="45"/>
      <c r="H148" s="45"/>
      <c r="I148" s="45"/>
      <c r="J148" s="45"/>
      <c r="K148" s="45"/>
      <c r="L148" s="45"/>
      <c r="M148" s="45"/>
    </row>
    <row r="149" spans="1:16" ht="16.5" customHeight="1" x14ac:dyDescent="0.25">
      <c r="A149" s="45"/>
      <c r="B149" s="544" t="s">
        <v>745</v>
      </c>
      <c r="C149" s="46"/>
      <c r="D149" s="46"/>
      <c r="E149" s="45"/>
      <c r="F149" s="45"/>
      <c r="G149" s="45"/>
      <c r="H149" s="45"/>
      <c r="I149" s="45"/>
      <c r="J149" s="45"/>
      <c r="K149" s="45"/>
      <c r="L149" s="45"/>
      <c r="M149" s="45"/>
    </row>
    <row r="150" spans="1:16" ht="18" customHeight="1" x14ac:dyDescent="0.25">
      <c r="A150" s="45"/>
      <c r="B150" s="544"/>
      <c r="C150" s="46"/>
      <c r="D150" s="46"/>
      <c r="E150" s="45"/>
      <c r="F150" s="45"/>
      <c r="G150" s="45"/>
      <c r="H150" s="45"/>
      <c r="I150" s="45"/>
      <c r="J150" s="45"/>
      <c r="K150" s="45"/>
      <c r="L150" s="45"/>
      <c r="M150" s="45"/>
    </row>
    <row r="151" spans="1:16" ht="16.5" customHeight="1" x14ac:dyDescent="0.25">
      <c r="A151" s="45"/>
      <c r="B151" s="1836" t="s">
        <v>747</v>
      </c>
      <c r="C151" s="1836"/>
      <c r="D151" s="1836"/>
      <c r="E151" s="1836"/>
      <c r="F151" s="1836"/>
      <c r="G151" s="45"/>
      <c r="H151" s="45"/>
      <c r="I151" s="45"/>
      <c r="J151" s="45"/>
      <c r="K151" s="45"/>
      <c r="L151" s="45"/>
      <c r="M151" s="45"/>
    </row>
    <row r="152" spans="1:16" ht="12" customHeight="1" x14ac:dyDescent="0.25">
      <c r="A152" s="45"/>
      <c r="B152" s="546"/>
      <c r="C152" s="546"/>
      <c r="D152" s="546"/>
      <c r="E152" s="546"/>
      <c r="F152" s="546"/>
      <c r="G152" s="45"/>
      <c r="H152" s="45"/>
      <c r="I152" s="45"/>
      <c r="J152" s="45"/>
      <c r="K152" s="45"/>
      <c r="L152" s="45"/>
      <c r="M152" s="45"/>
    </row>
    <row r="153" spans="1:16" ht="33" customHeight="1" x14ac:dyDescent="0.25">
      <c r="A153" s="45"/>
      <c r="B153" s="238" t="s">
        <v>90</v>
      </c>
      <c r="C153" s="816" t="s">
        <v>746</v>
      </c>
      <c r="D153" s="547" t="s">
        <v>1419</v>
      </c>
      <c r="E153" s="2127" t="s">
        <v>744</v>
      </c>
      <c r="F153" s="2127"/>
      <c r="G153" s="547" t="s">
        <v>748</v>
      </c>
      <c r="H153" s="239" t="s">
        <v>77</v>
      </c>
      <c r="I153" s="2127" t="s">
        <v>12</v>
      </c>
      <c r="J153" s="2127"/>
      <c r="K153" s="2128"/>
      <c r="L153" s="45"/>
      <c r="M153" s="45"/>
      <c r="N153" s="45"/>
    </row>
    <row r="154" spans="1:16" x14ac:dyDescent="0.25">
      <c r="A154" s="45"/>
      <c r="B154" s="529"/>
      <c r="C154" s="814"/>
      <c r="D154" s="815" t="s">
        <v>53</v>
      </c>
      <c r="E154" s="549"/>
      <c r="F154" s="530" t="s">
        <v>53</v>
      </c>
      <c r="G154" s="530" t="s">
        <v>53</v>
      </c>
      <c r="H154" s="1196" t="str">
        <f t="shared" ref="H154:H163" si="3">IF(OR(D154="Select",D154=""),"",IF(O154+P154=2,"Yes","No"))</f>
        <v/>
      </c>
      <c r="I154" s="1703"/>
      <c r="J154" s="1703"/>
      <c r="K154" s="1703"/>
      <c r="L154" s="45"/>
      <c r="M154" s="45"/>
      <c r="N154" s="45"/>
      <c r="O154" s="35">
        <f>IF(OR(D154="ULEF",D154="NAF",D154="No UF and no PF resins",D154="Certified product",D154="Salvaged",D154="Compliant with CDPH Standard"),1,IF(OR(E154="",F154="Select"),0,IF(F154="ppm",IF(E154&lt;=0.05,1,0),IF(E154&lt;=0.06,1,0))))</f>
        <v>0</v>
      </c>
      <c r="P154" s="35">
        <f>IF(OR(G154="no adhesive used",G154="no added-urea formaldehyde"),1,0)</f>
        <v>0</v>
      </c>
    </row>
    <row r="155" spans="1:16" x14ac:dyDescent="0.25">
      <c r="A155" s="45"/>
      <c r="B155" s="529"/>
      <c r="C155" s="99"/>
      <c r="D155" s="1221" t="s">
        <v>53</v>
      </c>
      <c r="E155" s="99"/>
      <c r="F155" s="530" t="s">
        <v>53</v>
      </c>
      <c r="G155" s="548" t="s">
        <v>53</v>
      </c>
      <c r="H155" s="1196" t="str">
        <f t="shared" si="3"/>
        <v/>
      </c>
      <c r="I155" s="1703"/>
      <c r="J155" s="1703"/>
      <c r="K155" s="1703"/>
      <c r="L155" s="45"/>
      <c r="M155" s="45"/>
      <c r="N155" s="45"/>
      <c r="O155" s="35">
        <f t="shared" ref="O155:O163" si="4">IF(OR(D155="ULEF",D155="NAF",D155="No UF and no PF resins",D155="Certified product",D155="Salvaged",D155="Compliant with CDPH Standard"),1,IF(OR(E155="",F155="Select"),0,IF(F155="ppm",IF(E155&lt;=0.05,1,0),IF(E155&lt;=0.06,1,0))))</f>
        <v>0</v>
      </c>
      <c r="P155" s="35">
        <f t="shared" ref="P155:P163" si="5">IF(OR(G155="no adhesive used",G155="no added-urea formaldehyde"),1,0)</f>
        <v>0</v>
      </c>
    </row>
    <row r="156" spans="1:16" x14ac:dyDescent="0.25">
      <c r="A156" s="45"/>
      <c r="B156" s="556"/>
      <c r="C156" s="99"/>
      <c r="D156" s="1221" t="s">
        <v>53</v>
      </c>
      <c r="E156" s="99"/>
      <c r="F156" s="557" t="s">
        <v>53</v>
      </c>
      <c r="G156" s="557" t="s">
        <v>53</v>
      </c>
      <c r="H156" s="166" t="str">
        <f t="shared" si="3"/>
        <v/>
      </c>
      <c r="I156" s="1703"/>
      <c r="J156" s="1703"/>
      <c r="K156" s="1703"/>
      <c r="L156" s="45"/>
      <c r="M156" s="45"/>
      <c r="N156" s="45"/>
      <c r="O156" s="35">
        <f t="shared" si="4"/>
        <v>0</v>
      </c>
      <c r="P156" s="35">
        <f t="shared" ref="P156:P160" si="6">IF(OR(G156="no adhesive used",G156="no added-urea formaldehyde"),1,0)</f>
        <v>0</v>
      </c>
    </row>
    <row r="157" spans="1:16" x14ac:dyDescent="0.25">
      <c r="A157" s="45"/>
      <c r="B157" s="556"/>
      <c r="C157" s="99"/>
      <c r="D157" s="1221" t="s">
        <v>53</v>
      </c>
      <c r="E157" s="99"/>
      <c r="F157" s="557" t="s">
        <v>53</v>
      </c>
      <c r="G157" s="557" t="s">
        <v>53</v>
      </c>
      <c r="H157" s="166" t="str">
        <f t="shared" si="3"/>
        <v/>
      </c>
      <c r="I157" s="1703"/>
      <c r="J157" s="1703"/>
      <c r="K157" s="1703"/>
      <c r="L157" s="45"/>
      <c r="M157" s="45"/>
      <c r="N157" s="45"/>
      <c r="O157" s="35">
        <f t="shared" si="4"/>
        <v>0</v>
      </c>
      <c r="P157" s="35">
        <f t="shared" si="6"/>
        <v>0</v>
      </c>
    </row>
    <row r="158" spans="1:16" x14ac:dyDescent="0.25">
      <c r="A158" s="45"/>
      <c r="B158" s="556"/>
      <c r="C158" s="99"/>
      <c r="D158" s="1221" t="s">
        <v>53</v>
      </c>
      <c r="E158" s="99"/>
      <c r="F158" s="557" t="s">
        <v>53</v>
      </c>
      <c r="G158" s="557" t="s">
        <v>53</v>
      </c>
      <c r="H158" s="166" t="str">
        <f t="shared" si="3"/>
        <v/>
      </c>
      <c r="I158" s="1703"/>
      <c r="J158" s="1703"/>
      <c r="K158" s="1703"/>
      <c r="L158" s="45"/>
      <c r="M158" s="45"/>
      <c r="N158" s="45"/>
      <c r="O158" s="35">
        <f t="shared" si="4"/>
        <v>0</v>
      </c>
      <c r="P158" s="35">
        <f t="shared" si="6"/>
        <v>0</v>
      </c>
    </row>
    <row r="159" spans="1:16" x14ac:dyDescent="0.25">
      <c r="A159" s="45"/>
      <c r="B159" s="556"/>
      <c r="C159" s="99"/>
      <c r="D159" s="1221" t="s">
        <v>53</v>
      </c>
      <c r="E159" s="99"/>
      <c r="F159" s="557" t="s">
        <v>53</v>
      </c>
      <c r="G159" s="557" t="s">
        <v>53</v>
      </c>
      <c r="H159" s="166" t="str">
        <f t="shared" si="3"/>
        <v/>
      </c>
      <c r="I159" s="1703"/>
      <c r="J159" s="1703"/>
      <c r="K159" s="1703"/>
      <c r="L159" s="45"/>
      <c r="M159" s="45"/>
      <c r="N159" s="45"/>
      <c r="O159" s="35">
        <f t="shared" si="4"/>
        <v>0</v>
      </c>
      <c r="P159" s="35">
        <f t="shared" si="6"/>
        <v>0</v>
      </c>
    </row>
    <row r="160" spans="1:16" x14ac:dyDescent="0.25">
      <c r="A160" s="45"/>
      <c r="B160" s="556"/>
      <c r="C160" s="99"/>
      <c r="D160" s="1221" t="s">
        <v>53</v>
      </c>
      <c r="E160" s="99"/>
      <c r="F160" s="557" t="s">
        <v>53</v>
      </c>
      <c r="G160" s="557" t="s">
        <v>53</v>
      </c>
      <c r="H160" s="166" t="str">
        <f t="shared" si="3"/>
        <v/>
      </c>
      <c r="I160" s="1703"/>
      <c r="J160" s="1703"/>
      <c r="K160" s="1703"/>
      <c r="L160" s="45"/>
      <c r="M160" s="45"/>
      <c r="N160" s="45"/>
      <c r="O160" s="35">
        <f t="shared" si="4"/>
        <v>0</v>
      </c>
      <c r="P160" s="35">
        <f t="shared" si="6"/>
        <v>0</v>
      </c>
    </row>
    <row r="161" spans="1:16" x14ac:dyDescent="0.25">
      <c r="A161" s="45"/>
      <c r="B161" s="529"/>
      <c r="C161" s="99"/>
      <c r="D161" s="1221" t="s">
        <v>53</v>
      </c>
      <c r="E161" s="99"/>
      <c r="F161" s="530" t="s">
        <v>53</v>
      </c>
      <c r="G161" s="548" t="s">
        <v>53</v>
      </c>
      <c r="H161" s="166" t="str">
        <f t="shared" si="3"/>
        <v/>
      </c>
      <c r="I161" s="1703"/>
      <c r="J161" s="1703"/>
      <c r="K161" s="1703"/>
      <c r="L161" s="45"/>
      <c r="M161" s="45"/>
      <c r="N161" s="45"/>
      <c r="O161" s="35">
        <f t="shared" si="4"/>
        <v>0</v>
      </c>
      <c r="P161" s="35">
        <f t="shared" si="5"/>
        <v>0</v>
      </c>
    </row>
    <row r="162" spans="1:16" x14ac:dyDescent="0.25">
      <c r="A162" s="45"/>
      <c r="B162" s="529"/>
      <c r="C162" s="99"/>
      <c r="D162" s="1221" t="s">
        <v>53</v>
      </c>
      <c r="E162" s="99"/>
      <c r="F162" s="530" t="s">
        <v>53</v>
      </c>
      <c r="G162" s="548" t="s">
        <v>53</v>
      </c>
      <c r="H162" s="166" t="str">
        <f t="shared" si="3"/>
        <v/>
      </c>
      <c r="I162" s="1703"/>
      <c r="J162" s="1703"/>
      <c r="K162" s="1703"/>
      <c r="L162" s="45"/>
      <c r="M162" s="45"/>
      <c r="N162" s="45"/>
      <c r="O162" s="35">
        <f t="shared" si="4"/>
        <v>0</v>
      </c>
      <c r="P162" s="35">
        <f t="shared" si="5"/>
        <v>0</v>
      </c>
    </row>
    <row r="163" spans="1:16" x14ac:dyDescent="0.25">
      <c r="A163" s="45"/>
      <c r="B163" s="529"/>
      <c r="C163" s="99"/>
      <c r="D163" s="1221" t="s">
        <v>53</v>
      </c>
      <c r="E163" s="99"/>
      <c r="F163" s="530" t="s">
        <v>53</v>
      </c>
      <c r="G163" s="548" t="s">
        <v>53</v>
      </c>
      <c r="H163" s="166" t="str">
        <f t="shared" si="3"/>
        <v/>
      </c>
      <c r="I163" s="1703"/>
      <c r="J163" s="1703"/>
      <c r="K163" s="1703"/>
      <c r="L163" s="45"/>
      <c r="M163" s="45"/>
      <c r="N163" s="45"/>
      <c r="O163" s="35">
        <f t="shared" si="4"/>
        <v>0</v>
      </c>
      <c r="P163" s="35">
        <f t="shared" si="5"/>
        <v>0</v>
      </c>
    </row>
    <row r="164" spans="1:16" ht="17.25" customHeight="1" x14ac:dyDescent="0.25">
      <c r="A164" s="45"/>
      <c r="B164" s="46"/>
      <c r="C164" s="46"/>
      <c r="D164" s="46"/>
      <c r="E164" s="46"/>
      <c r="F164" s="45"/>
      <c r="G164" s="45"/>
      <c r="H164" s="45"/>
      <c r="I164" s="45"/>
      <c r="J164" s="45"/>
      <c r="K164" s="45"/>
      <c r="L164" s="45"/>
      <c r="M164" s="45"/>
    </row>
    <row r="165" spans="1:16" ht="18.75" customHeight="1" x14ac:dyDescent="0.25">
      <c r="A165" s="45"/>
      <c r="B165" s="2124" t="s">
        <v>743</v>
      </c>
      <c r="C165" s="2125"/>
      <c r="D165" s="2126"/>
      <c r="E165" s="66" t="str">
        <f>IF(COUNTBLANK(H154:H163)=10,"",IF(COUNTIF(H154:H163,"No")=0,"Yes","No"))</f>
        <v/>
      </c>
      <c r="F165" s="45"/>
      <c r="G165" s="45"/>
      <c r="H165" s="45"/>
      <c r="I165" s="45"/>
      <c r="J165" s="45"/>
      <c r="K165" s="45"/>
      <c r="L165" s="45"/>
      <c r="M165" s="45"/>
    </row>
    <row r="166" spans="1:16" ht="19.5" customHeight="1" x14ac:dyDescent="0.25">
      <c r="A166" s="45"/>
      <c r="B166" s="46"/>
      <c r="C166" s="46"/>
      <c r="D166" s="46"/>
      <c r="E166" s="45"/>
      <c r="F166" s="45"/>
      <c r="G166" s="45"/>
      <c r="H166" s="45"/>
      <c r="I166" s="45"/>
      <c r="J166" s="45"/>
      <c r="K166" s="45"/>
      <c r="L166" s="45"/>
      <c r="M166" s="45"/>
    </row>
    <row r="167" spans="1:16" ht="16.5" customHeight="1" x14ac:dyDescent="0.25">
      <c r="A167" s="2117" t="s">
        <v>84</v>
      </c>
      <c r="B167" s="2117"/>
      <c r="C167" s="2117"/>
      <c r="D167" s="46"/>
      <c r="E167" s="46"/>
      <c r="F167" s="46"/>
      <c r="G167" s="46"/>
      <c r="H167" s="46"/>
      <c r="I167" s="46"/>
      <c r="J167" s="46"/>
      <c r="K167" s="46"/>
      <c r="L167" s="46"/>
      <c r="M167" s="46"/>
    </row>
    <row r="168" spans="1:16" x14ac:dyDescent="0.25">
      <c r="A168" s="45"/>
      <c r="B168" s="46"/>
      <c r="C168" s="46"/>
      <c r="D168" s="46"/>
      <c r="E168" s="45"/>
      <c r="F168" s="45"/>
      <c r="G168" s="45"/>
      <c r="H168" s="45"/>
      <c r="I168" s="45"/>
      <c r="J168" s="45"/>
      <c r="K168" s="45"/>
      <c r="L168" s="45"/>
      <c r="M168" s="45"/>
    </row>
    <row r="169" spans="1:16" ht="21" customHeight="1" x14ac:dyDescent="0.25">
      <c r="A169" s="45"/>
      <c r="B169" s="2104" t="s">
        <v>85</v>
      </c>
      <c r="C169" s="2105"/>
      <c r="D169" s="2105"/>
      <c r="E169" s="2105"/>
      <c r="F169" s="2105"/>
      <c r="G169" s="763" t="s">
        <v>907</v>
      </c>
      <c r="H169" s="2106" t="s">
        <v>908</v>
      </c>
      <c r="I169" s="2106"/>
      <c r="J169" s="45"/>
      <c r="K169" s="45"/>
      <c r="L169" s="45"/>
      <c r="M169" s="45"/>
    </row>
    <row r="170" spans="1:16" ht="30" customHeight="1" x14ac:dyDescent="0.25">
      <c r="A170" s="45"/>
      <c r="B170" s="1648" t="str">
        <f>Submittals!G80</f>
        <v>• For each low-formaldehyde product, evidence showing that the products installed are low-formaldehyde products such as manufacturer’s published data, certificate, test reports, etc.</v>
      </c>
      <c r="C170" s="1649" t="s">
        <v>218</v>
      </c>
      <c r="D170" s="1649"/>
      <c r="E170" s="1649"/>
      <c r="F170" s="1649"/>
      <c r="G170" s="761" t="s">
        <v>53</v>
      </c>
      <c r="H170" s="1689"/>
      <c r="I170" s="1690"/>
      <c r="J170" s="45"/>
      <c r="K170" s="45"/>
      <c r="L170" s="45"/>
      <c r="M170" s="45"/>
      <c r="N170" s="35" t="str">
        <f>IF(OR(B170="/",B170="No evidence required at this submission stage"),"Yes",IF(G170="Submitted","Yes","No"))</f>
        <v>No</v>
      </c>
    </row>
    <row r="171" spans="1:16" ht="30" customHeight="1" x14ac:dyDescent="0.25">
      <c r="A171" s="45"/>
      <c r="B171" s="1648" t="str">
        <f>Submittals!G81</f>
        <v>• Evidence showing that the low-formaldehyde products have been installed such as invoices, receipts, delivery notes, etc.</v>
      </c>
      <c r="C171" s="1649" t="s">
        <v>218</v>
      </c>
      <c r="D171" s="1649"/>
      <c r="E171" s="1649"/>
      <c r="F171" s="1649"/>
      <c r="G171" s="761" t="s">
        <v>53</v>
      </c>
      <c r="H171" s="1689"/>
      <c r="I171" s="1690"/>
      <c r="J171" s="45"/>
      <c r="K171" s="45"/>
      <c r="L171" s="45"/>
      <c r="M171" s="45"/>
      <c r="N171" s="35" t="str">
        <f>IF(OR(B171="/",B171="No evidence required at this submission stage"),"Yes",IF(G171="Submitted","Yes","No"))</f>
        <v>No</v>
      </c>
    </row>
    <row r="172" spans="1:16" ht="19.5" customHeight="1" x14ac:dyDescent="0.25">
      <c r="A172" s="45"/>
      <c r="B172" s="46"/>
      <c r="C172" s="46"/>
      <c r="D172" s="46"/>
      <c r="E172" s="45"/>
      <c r="F172" s="45"/>
      <c r="G172" s="45"/>
      <c r="H172" s="45"/>
      <c r="I172" s="45"/>
      <c r="J172" s="45"/>
      <c r="K172" s="45"/>
      <c r="L172" s="45"/>
      <c r="M172" s="45"/>
    </row>
    <row r="173" spans="1:16" ht="16.5" customHeight="1" x14ac:dyDescent="0.25">
      <c r="A173" s="2117" t="s">
        <v>5</v>
      </c>
      <c r="B173" s="2117"/>
      <c r="C173" s="2117"/>
      <c r="D173" s="46"/>
      <c r="E173" s="45"/>
      <c r="F173" s="45"/>
      <c r="G173" s="45"/>
      <c r="H173" s="45"/>
      <c r="I173" s="45"/>
      <c r="J173" s="45"/>
      <c r="K173" s="45"/>
      <c r="L173" s="45"/>
      <c r="M173" s="45"/>
    </row>
    <row r="174" spans="1:16" ht="16.5" customHeight="1" x14ac:dyDescent="0.25">
      <c r="A174" s="45"/>
      <c r="B174" s="46"/>
      <c r="C174" s="46"/>
      <c r="D174" s="46"/>
      <c r="E174" s="45"/>
      <c r="F174" s="45"/>
      <c r="G174" s="45"/>
      <c r="H174" s="45"/>
      <c r="I174" s="45"/>
      <c r="J174" s="45"/>
      <c r="K174" s="45"/>
      <c r="L174" s="45"/>
      <c r="M174" s="45"/>
    </row>
    <row r="175" spans="1:16" ht="18" customHeight="1" x14ac:dyDescent="0.25">
      <c r="A175" s="45"/>
      <c r="B175" s="134" t="s">
        <v>16</v>
      </c>
      <c r="C175" s="8">
        <f>IF(E165="Yes",1,0)</f>
        <v>0</v>
      </c>
      <c r="D175" s="46"/>
      <c r="E175" s="45"/>
      <c r="F175" s="45"/>
      <c r="G175" s="45"/>
      <c r="H175" s="45"/>
      <c r="I175" s="45"/>
      <c r="J175" s="45"/>
      <c r="K175" s="45"/>
      <c r="L175" s="45"/>
      <c r="M175" s="45"/>
    </row>
    <row r="176" spans="1:16" ht="18" customHeight="1" x14ac:dyDescent="0.25">
      <c r="A176" s="45"/>
      <c r="B176" s="135" t="s">
        <v>133</v>
      </c>
      <c r="C176" s="8" t="str">
        <f>IF(AND(COUNTIF(N170:N171,"Yes")=2,C175&gt;0),"Yes","No")</f>
        <v>No</v>
      </c>
      <c r="D176" s="46"/>
      <c r="E176" s="45"/>
      <c r="F176" s="45"/>
      <c r="G176" s="45"/>
      <c r="H176" s="45"/>
      <c r="I176" s="45"/>
      <c r="J176" s="45"/>
      <c r="K176" s="45"/>
      <c r="L176" s="45"/>
      <c r="M176" s="45"/>
    </row>
    <row r="177" spans="1:14" ht="16.5" customHeight="1" x14ac:dyDescent="0.25">
      <c r="A177" s="45"/>
      <c r="B177" s="46"/>
      <c r="C177" s="46"/>
      <c r="D177" s="46"/>
      <c r="E177" s="45"/>
      <c r="F177" s="45"/>
      <c r="G177" s="45"/>
      <c r="H177" s="45"/>
      <c r="I177" s="45"/>
      <c r="J177" s="45"/>
      <c r="K177" s="45"/>
      <c r="L177" s="45"/>
      <c r="M177" s="45"/>
    </row>
    <row r="178" spans="1:14" ht="18.75" customHeight="1" x14ac:dyDescent="0.25">
      <c r="A178" s="2107" t="s">
        <v>2048</v>
      </c>
      <c r="B178" s="2107"/>
      <c r="C178" s="2107"/>
      <c r="D178" s="2107"/>
      <c r="E178" s="2107"/>
      <c r="F178" s="2107"/>
      <c r="G178" s="2107"/>
      <c r="H178" s="2107"/>
      <c r="I178" s="2107"/>
      <c r="J178" s="2107"/>
      <c r="K178" s="2107"/>
      <c r="L178" s="2107"/>
      <c r="M178" s="2107"/>
      <c r="N178" s="43"/>
    </row>
    <row r="179" spans="1:14" x14ac:dyDescent="0.25">
      <c r="A179" s="45"/>
      <c r="B179" s="45"/>
      <c r="C179" s="45"/>
      <c r="D179" s="45"/>
      <c r="E179" s="46"/>
      <c r="F179" s="45"/>
      <c r="G179" s="45"/>
      <c r="H179" s="45"/>
      <c r="I179" s="45"/>
      <c r="J179" s="45"/>
      <c r="K179" s="45"/>
      <c r="L179" s="45"/>
      <c r="M179" s="45"/>
      <c r="N179" s="45"/>
    </row>
    <row r="180" spans="1:14" ht="16.5" customHeight="1" x14ac:dyDescent="0.25">
      <c r="A180" s="2117" t="s">
        <v>102</v>
      </c>
      <c r="B180" s="2117"/>
      <c r="C180" s="2117"/>
      <c r="D180" s="45"/>
      <c r="E180" s="46"/>
      <c r="F180" s="45"/>
      <c r="G180" s="45"/>
      <c r="H180" s="45"/>
      <c r="I180" s="45"/>
      <c r="J180" s="45"/>
      <c r="K180" s="45"/>
      <c r="L180" s="45"/>
      <c r="M180" s="45"/>
      <c r="N180" s="45"/>
    </row>
    <row r="181" spans="1:14" ht="14.25" customHeight="1" x14ac:dyDescent="0.25">
      <c r="A181" s="45"/>
      <c r="B181" s="45"/>
      <c r="C181" s="45"/>
      <c r="D181" s="45"/>
      <c r="E181" s="46"/>
      <c r="F181" s="45"/>
      <c r="G181" s="45"/>
      <c r="H181" s="45"/>
      <c r="I181" s="45"/>
      <c r="J181" s="45"/>
      <c r="K181" s="45"/>
      <c r="L181" s="45"/>
      <c r="M181" s="45"/>
      <c r="N181" s="45"/>
    </row>
    <row r="182" spans="1:14" x14ac:dyDescent="0.25">
      <c r="A182" s="45"/>
      <c r="B182" s="565" t="s">
        <v>2366</v>
      </c>
      <c r="C182" s="46"/>
      <c r="D182" s="46"/>
      <c r="E182" s="46"/>
      <c r="F182" s="45"/>
      <c r="G182" s="45"/>
      <c r="H182" s="45"/>
      <c r="I182" s="45"/>
      <c r="J182" s="45"/>
      <c r="K182" s="45"/>
      <c r="L182" s="45"/>
      <c r="M182" s="45"/>
      <c r="N182" s="45"/>
    </row>
    <row r="183" spans="1:14" ht="18" customHeight="1" x14ac:dyDescent="0.25">
      <c r="A183" s="45"/>
      <c r="B183" s="46"/>
      <c r="C183" s="46"/>
      <c r="D183" s="46"/>
      <c r="E183" s="46"/>
      <c r="F183" s="45"/>
      <c r="G183" s="45"/>
      <c r="H183" s="45"/>
      <c r="I183" s="45"/>
      <c r="J183" s="45"/>
      <c r="K183" s="45"/>
      <c r="L183" s="45"/>
      <c r="M183" s="45"/>
      <c r="N183" s="45"/>
    </row>
    <row r="184" spans="1:14" ht="15.75" customHeight="1" x14ac:dyDescent="0.25">
      <c r="A184" s="45"/>
      <c r="B184" s="544" t="s">
        <v>2049</v>
      </c>
      <c r="C184" s="46"/>
      <c r="D184" s="46"/>
      <c r="E184" s="46"/>
      <c r="F184" s="45"/>
      <c r="G184" s="45"/>
      <c r="H184" s="45"/>
      <c r="I184" s="45"/>
      <c r="J184" s="45"/>
      <c r="K184" s="45"/>
      <c r="L184" s="45"/>
      <c r="M184" s="45"/>
      <c r="N184" s="45"/>
    </row>
    <row r="185" spans="1:14" x14ac:dyDescent="0.25">
      <c r="A185" s="45"/>
      <c r="B185" s="544"/>
      <c r="C185" s="46"/>
      <c r="D185" s="46"/>
      <c r="E185" s="46"/>
      <c r="F185" s="45"/>
      <c r="G185" s="45"/>
      <c r="H185" s="45"/>
      <c r="I185" s="45"/>
      <c r="J185" s="45"/>
      <c r="K185" s="45"/>
      <c r="L185" s="45"/>
      <c r="M185" s="45"/>
      <c r="N185" s="45"/>
    </row>
    <row r="186" spans="1:14" ht="9.75" customHeight="1" x14ac:dyDescent="0.25">
      <c r="A186" s="45"/>
      <c r="B186" s="46"/>
      <c r="C186" s="46"/>
      <c r="D186" s="46"/>
      <c r="E186" s="46"/>
      <c r="F186" s="45"/>
      <c r="G186" s="45"/>
      <c r="H186" s="45"/>
      <c r="I186" s="45"/>
      <c r="J186" s="45"/>
      <c r="K186" s="45"/>
      <c r="L186" s="45"/>
      <c r="M186" s="45"/>
      <c r="N186" s="45"/>
    </row>
    <row r="187" spans="1:14" ht="15" customHeight="1" x14ac:dyDescent="0.25">
      <c r="A187" s="45"/>
      <c r="B187" s="1836" t="s">
        <v>2050</v>
      </c>
      <c r="C187" s="1836"/>
      <c r="D187" s="1836"/>
      <c r="E187" s="1836"/>
      <c r="F187" s="1836"/>
      <c r="G187" s="1836"/>
      <c r="H187" s="45"/>
      <c r="I187" s="45"/>
      <c r="J187" s="45"/>
      <c r="K187" s="45"/>
      <c r="L187" s="45"/>
      <c r="M187" s="45"/>
      <c r="N187" s="45"/>
    </row>
    <row r="188" spans="1:14" ht="12" customHeight="1" x14ac:dyDescent="0.25">
      <c r="A188" s="45"/>
      <c r="B188" s="46"/>
      <c r="C188" s="46"/>
      <c r="D188" s="46"/>
      <c r="E188" s="45"/>
      <c r="F188" s="45"/>
      <c r="G188" s="45"/>
      <c r="H188" s="45"/>
      <c r="I188" s="45"/>
      <c r="J188" s="45"/>
      <c r="K188" s="45"/>
      <c r="L188" s="45"/>
      <c r="M188" s="45"/>
      <c r="N188" s="45"/>
    </row>
    <row r="189" spans="1:14" ht="27" customHeight="1" x14ac:dyDescent="0.25">
      <c r="A189" s="45"/>
      <c r="B189" s="1178" t="s">
        <v>90</v>
      </c>
      <c r="C189" s="1177" t="s">
        <v>111</v>
      </c>
      <c r="D189" s="1177" t="s">
        <v>2051</v>
      </c>
      <c r="E189" s="1177" t="s">
        <v>173</v>
      </c>
      <c r="F189" s="1177" t="s">
        <v>91</v>
      </c>
      <c r="G189" s="1176" t="s">
        <v>77</v>
      </c>
      <c r="H189" s="2127" t="s">
        <v>12</v>
      </c>
      <c r="I189" s="2127"/>
      <c r="J189" s="2128"/>
      <c r="K189" s="45"/>
      <c r="L189" s="45"/>
      <c r="M189" s="45"/>
      <c r="N189" s="45"/>
    </row>
    <row r="190" spans="1:14" x14ac:dyDescent="0.25">
      <c r="A190" s="45"/>
      <c r="B190" s="1174"/>
      <c r="C190" s="1175"/>
      <c r="D190" s="1221" t="s">
        <v>53</v>
      </c>
      <c r="E190" s="1175"/>
      <c r="F190" s="1175"/>
      <c r="G190" s="166" t="str">
        <f>IF(OR(D190="",D190="Select"),"",IF(OR(D190="Inherently non-emitting product",D190="Certified product",D190="Salvaged",D190="Compliant with CDPH Standard"),"Yes",IF(AND(E190&lt;&gt;"",F190&lt;&gt;""),IF(E190&lt;F190,"Yes","No"),"No")))</f>
        <v/>
      </c>
      <c r="H190" s="1634"/>
      <c r="I190" s="1634"/>
      <c r="J190" s="1634"/>
      <c r="K190" s="45"/>
      <c r="L190" s="45"/>
      <c r="M190" s="45"/>
      <c r="N190" s="45"/>
    </row>
    <row r="191" spans="1:14" x14ac:dyDescent="0.25">
      <c r="A191" s="45"/>
      <c r="B191" s="1174"/>
      <c r="C191" s="99"/>
      <c r="D191" s="1221" t="s">
        <v>53</v>
      </c>
      <c r="E191" s="1175"/>
      <c r="F191" s="1175"/>
      <c r="G191" s="166" t="str">
        <f t="shared" ref="G191:G199" si="7">IF(OR(D191="",D191="Select"),"",IF(OR(D191="Inherently non-emitting product",D191="Certified product",D191="Salvaged",D191="Compliant with CDPH Standard"),"Yes",IF(AND(E191&lt;&gt;"",F191&lt;&gt;""),IF(E191&lt;F191,"Yes","No"),"No")))</f>
        <v/>
      </c>
      <c r="H191" s="1634"/>
      <c r="I191" s="1634"/>
      <c r="J191" s="1634"/>
      <c r="K191" s="45"/>
      <c r="L191" s="45"/>
      <c r="M191" s="45"/>
      <c r="N191" s="45"/>
    </row>
    <row r="192" spans="1:14" x14ac:dyDescent="0.25">
      <c r="A192" s="45"/>
      <c r="B192" s="1174"/>
      <c r="C192" s="99"/>
      <c r="D192" s="1221" t="s">
        <v>53</v>
      </c>
      <c r="E192" s="1175"/>
      <c r="F192" s="1175"/>
      <c r="G192" s="166" t="str">
        <f t="shared" si="7"/>
        <v/>
      </c>
      <c r="H192" s="1634"/>
      <c r="I192" s="1634"/>
      <c r="J192" s="1634"/>
      <c r="K192" s="45"/>
      <c r="L192" s="45"/>
      <c r="M192" s="45"/>
      <c r="N192" s="45"/>
    </row>
    <row r="193" spans="1:14" x14ac:dyDescent="0.25">
      <c r="A193" s="45"/>
      <c r="B193" s="1174"/>
      <c r="C193" s="99"/>
      <c r="D193" s="1221" t="s">
        <v>53</v>
      </c>
      <c r="E193" s="1175"/>
      <c r="F193" s="1175"/>
      <c r="G193" s="166" t="str">
        <f t="shared" si="7"/>
        <v/>
      </c>
      <c r="H193" s="1634"/>
      <c r="I193" s="1634"/>
      <c r="J193" s="1634"/>
      <c r="K193" s="45"/>
      <c r="L193" s="45"/>
      <c r="M193" s="45"/>
      <c r="N193" s="45"/>
    </row>
    <row r="194" spans="1:14" x14ac:dyDescent="0.25">
      <c r="A194" s="45"/>
      <c r="B194" s="1174"/>
      <c r="C194" s="99"/>
      <c r="D194" s="1221" t="s">
        <v>53</v>
      </c>
      <c r="E194" s="1175"/>
      <c r="F194" s="1175"/>
      <c r="G194" s="166" t="str">
        <f t="shared" si="7"/>
        <v/>
      </c>
      <c r="H194" s="1634"/>
      <c r="I194" s="1634"/>
      <c r="J194" s="1634"/>
      <c r="K194" s="45"/>
      <c r="L194" s="45"/>
      <c r="M194" s="45"/>
      <c r="N194" s="45"/>
    </row>
    <row r="195" spans="1:14" x14ac:dyDescent="0.25">
      <c r="A195" s="45"/>
      <c r="B195" s="1174"/>
      <c r="C195" s="99"/>
      <c r="D195" s="1221" t="s">
        <v>53</v>
      </c>
      <c r="E195" s="1175"/>
      <c r="F195" s="1175"/>
      <c r="G195" s="166" t="str">
        <f t="shared" si="7"/>
        <v/>
      </c>
      <c r="H195" s="1634"/>
      <c r="I195" s="1634"/>
      <c r="J195" s="1634"/>
      <c r="K195" s="45"/>
      <c r="L195" s="45"/>
      <c r="M195" s="45"/>
      <c r="N195" s="45"/>
    </row>
    <row r="196" spans="1:14" x14ac:dyDescent="0.25">
      <c r="A196" s="45"/>
      <c r="B196" s="1174"/>
      <c r="C196" s="99"/>
      <c r="D196" s="1221" t="s">
        <v>53</v>
      </c>
      <c r="E196" s="1175"/>
      <c r="F196" s="1175"/>
      <c r="G196" s="166" t="str">
        <f t="shared" si="7"/>
        <v/>
      </c>
      <c r="H196" s="1634"/>
      <c r="I196" s="1634"/>
      <c r="J196" s="1634"/>
      <c r="K196" s="45"/>
      <c r="L196" s="45"/>
      <c r="M196" s="45"/>
      <c r="N196" s="45"/>
    </row>
    <row r="197" spans="1:14" x14ac:dyDescent="0.25">
      <c r="A197" s="45"/>
      <c r="B197" s="1174"/>
      <c r="C197" s="99"/>
      <c r="D197" s="1221" t="s">
        <v>53</v>
      </c>
      <c r="E197" s="99"/>
      <c r="F197" s="99"/>
      <c r="G197" s="166" t="str">
        <f t="shared" si="7"/>
        <v/>
      </c>
      <c r="H197" s="1634"/>
      <c r="I197" s="1634"/>
      <c r="J197" s="1634"/>
      <c r="K197" s="45"/>
      <c r="L197" s="45"/>
      <c r="M197" s="45"/>
      <c r="N197" s="45"/>
    </row>
    <row r="198" spans="1:14" x14ac:dyDescent="0.25">
      <c r="A198" s="45"/>
      <c r="B198" s="1174"/>
      <c r="C198" s="99"/>
      <c r="D198" s="1221" t="s">
        <v>53</v>
      </c>
      <c r="E198" s="99"/>
      <c r="F198" s="99"/>
      <c r="G198" s="166" t="str">
        <f t="shared" si="7"/>
        <v/>
      </c>
      <c r="H198" s="1634"/>
      <c r="I198" s="1634"/>
      <c r="J198" s="1634"/>
      <c r="K198" s="45"/>
      <c r="L198" s="45"/>
      <c r="M198" s="45"/>
      <c r="N198" s="45"/>
    </row>
    <row r="199" spans="1:14" x14ac:dyDescent="0.25">
      <c r="A199" s="45"/>
      <c r="B199" s="1174"/>
      <c r="C199" s="99"/>
      <c r="D199" s="1221" t="s">
        <v>53</v>
      </c>
      <c r="E199" s="99"/>
      <c r="F199" s="99"/>
      <c r="G199" s="166" t="str">
        <f t="shared" si="7"/>
        <v/>
      </c>
      <c r="H199" s="1634"/>
      <c r="I199" s="1634"/>
      <c r="J199" s="1634"/>
      <c r="K199" s="45"/>
      <c r="L199" s="45"/>
      <c r="M199" s="45"/>
      <c r="N199" s="45"/>
    </row>
    <row r="200" spans="1:14" ht="18" customHeight="1" x14ac:dyDescent="0.25">
      <c r="A200" s="45"/>
      <c r="B200" s="46"/>
      <c r="C200" s="46"/>
      <c r="D200" s="46"/>
      <c r="E200" s="46"/>
      <c r="F200" s="45"/>
      <c r="G200" s="45"/>
      <c r="H200" s="45"/>
      <c r="I200" s="45"/>
      <c r="J200" s="45"/>
      <c r="K200" s="45"/>
      <c r="L200" s="45"/>
      <c r="M200" s="45"/>
      <c r="N200" s="45"/>
    </row>
    <row r="201" spans="1:14" ht="19.5" customHeight="1" x14ac:dyDescent="0.25">
      <c r="A201" s="45"/>
      <c r="B201" s="2124" t="s">
        <v>2056</v>
      </c>
      <c r="C201" s="2125"/>
      <c r="D201" s="2126"/>
      <c r="E201" s="66" t="str">
        <f>IF(COUNTBLANK(G190:G199)=10,"",IF(COUNTIF(G190:G199,"No")=0,"Yes","No"))</f>
        <v/>
      </c>
      <c r="F201" s="45"/>
      <c r="G201" s="45"/>
      <c r="H201" s="45"/>
      <c r="I201" s="45"/>
      <c r="J201" s="45"/>
      <c r="K201" s="45"/>
      <c r="L201" s="45"/>
      <c r="M201" s="45"/>
      <c r="N201" s="45"/>
    </row>
    <row r="202" spans="1:14" ht="18.75" customHeight="1" x14ac:dyDescent="0.25">
      <c r="A202" s="45"/>
      <c r="B202" s="46"/>
      <c r="C202" s="46"/>
      <c r="D202" s="46"/>
      <c r="E202" s="45"/>
      <c r="F202" s="45"/>
      <c r="G202" s="45"/>
      <c r="H202" s="45"/>
      <c r="I202" s="45"/>
      <c r="J202" s="45"/>
      <c r="K202" s="45"/>
      <c r="L202" s="45"/>
      <c r="M202" s="45"/>
      <c r="N202" s="45"/>
    </row>
    <row r="203" spans="1:14" ht="16.5" customHeight="1" x14ac:dyDescent="0.25">
      <c r="A203" s="2117" t="s">
        <v>84</v>
      </c>
      <c r="B203" s="2117"/>
      <c r="C203" s="2117"/>
      <c r="D203" s="46"/>
      <c r="E203" s="46"/>
      <c r="F203" s="46"/>
      <c r="G203" s="46"/>
      <c r="H203" s="46"/>
      <c r="I203" s="46"/>
      <c r="J203" s="46"/>
      <c r="K203" s="46"/>
      <c r="L203" s="46"/>
      <c r="M203" s="46"/>
      <c r="N203" s="45"/>
    </row>
    <row r="204" spans="1:14" x14ac:dyDescent="0.25">
      <c r="A204" s="45"/>
      <c r="B204" s="46"/>
      <c r="C204" s="46"/>
      <c r="D204" s="46"/>
      <c r="E204" s="45"/>
      <c r="F204" s="45"/>
      <c r="G204" s="45"/>
      <c r="H204" s="45"/>
      <c r="I204" s="45"/>
      <c r="J204" s="45"/>
      <c r="K204" s="45"/>
      <c r="L204" s="45"/>
      <c r="M204" s="45"/>
      <c r="N204" s="45"/>
    </row>
    <row r="205" spans="1:14" ht="21" customHeight="1" x14ac:dyDescent="0.25">
      <c r="A205" s="45"/>
      <c r="B205" s="2104" t="s">
        <v>85</v>
      </c>
      <c r="C205" s="2105"/>
      <c r="D205" s="2105"/>
      <c r="E205" s="2105"/>
      <c r="F205" s="2105"/>
      <c r="G205" s="1176" t="s">
        <v>907</v>
      </c>
      <c r="H205" s="2106" t="s">
        <v>908</v>
      </c>
      <c r="I205" s="2106"/>
      <c r="J205" s="45"/>
      <c r="K205" s="45"/>
      <c r="L205" s="45"/>
      <c r="M205" s="45"/>
      <c r="N205" s="45"/>
    </row>
    <row r="206" spans="1:14" ht="30" customHeight="1" x14ac:dyDescent="0.25">
      <c r="A206" s="45"/>
      <c r="B206" s="1648" t="str">
        <f>Submittals!G78</f>
        <v>• For each low-VOC product, evidence showing that the products installed are low-VOC products such as manufacturer’s published data, certificate, test reports, etc.</v>
      </c>
      <c r="C206" s="1649" t="s">
        <v>218</v>
      </c>
      <c r="D206" s="1649"/>
      <c r="E206" s="1649"/>
      <c r="F206" s="1649"/>
      <c r="G206" s="1174" t="s">
        <v>53</v>
      </c>
      <c r="H206" s="1689"/>
      <c r="I206" s="1690"/>
      <c r="J206" s="45"/>
      <c r="K206" s="45"/>
      <c r="L206" s="45"/>
      <c r="M206" s="45"/>
      <c r="N206" s="35" t="str">
        <f>IF(OR(B206="/",B206="No evidence required at this submission stage"),"Yes",IF(G206="Submitted","Yes","No"))</f>
        <v>No</v>
      </c>
    </row>
    <row r="207" spans="1:14" ht="30" customHeight="1" x14ac:dyDescent="0.25">
      <c r="A207" s="45"/>
      <c r="B207" s="1648" t="str">
        <f>Submittals!G79</f>
        <v>• Evidence showing that the low-VOC products have been installed such as invoices, receipts, delivery notes, etc.</v>
      </c>
      <c r="C207" s="1649" t="s">
        <v>218</v>
      </c>
      <c r="D207" s="1649"/>
      <c r="E207" s="1649"/>
      <c r="F207" s="1649"/>
      <c r="G207" s="1174" t="s">
        <v>53</v>
      </c>
      <c r="H207" s="1689"/>
      <c r="I207" s="1690"/>
      <c r="J207" s="45"/>
      <c r="K207" s="45"/>
      <c r="L207" s="45"/>
      <c r="M207" s="45"/>
      <c r="N207" s="35" t="str">
        <f>IF(OR(B207="/",B207="No evidence required at this submission stage"),"Yes",IF(G207="Submitted","Yes","No"))</f>
        <v>No</v>
      </c>
    </row>
    <row r="208" spans="1:14" ht="19.5" customHeight="1" x14ac:dyDescent="0.25">
      <c r="A208" s="45"/>
      <c r="B208" s="46"/>
      <c r="C208" s="46"/>
      <c r="D208" s="46"/>
      <c r="E208" s="45"/>
      <c r="F208" s="45"/>
      <c r="G208" s="45"/>
      <c r="H208" s="45"/>
      <c r="I208" s="45"/>
      <c r="J208" s="45"/>
      <c r="K208" s="45"/>
      <c r="L208" s="45"/>
      <c r="M208" s="45"/>
      <c r="N208" s="45"/>
    </row>
    <row r="209" spans="1:14" ht="16.5" customHeight="1" x14ac:dyDescent="0.25">
      <c r="A209" s="2117" t="s">
        <v>5</v>
      </c>
      <c r="B209" s="2117"/>
      <c r="C209" s="2117"/>
      <c r="D209" s="46"/>
      <c r="E209" s="45"/>
      <c r="F209" s="45"/>
      <c r="G209" s="45"/>
      <c r="H209" s="45"/>
      <c r="I209" s="45"/>
      <c r="J209" s="45"/>
      <c r="K209" s="45"/>
      <c r="L209" s="45"/>
      <c r="M209" s="45"/>
      <c r="N209" s="45"/>
    </row>
    <row r="210" spans="1:14" ht="16.5" customHeight="1" x14ac:dyDescent="0.25">
      <c r="A210" s="45"/>
      <c r="B210" s="46"/>
      <c r="C210" s="46"/>
      <c r="D210" s="46"/>
      <c r="E210" s="45"/>
      <c r="F210" s="45"/>
      <c r="G210" s="45"/>
      <c r="H210" s="45"/>
      <c r="I210" s="45"/>
      <c r="J210" s="45"/>
      <c r="K210" s="45"/>
      <c r="L210" s="45"/>
      <c r="M210" s="45"/>
      <c r="N210" s="45"/>
    </row>
    <row r="211" spans="1:14" ht="18" customHeight="1" x14ac:dyDescent="0.25">
      <c r="A211" s="45"/>
      <c r="B211" s="134" t="s">
        <v>16</v>
      </c>
      <c r="C211" s="8">
        <f>IF(E201="Yes",1,0)</f>
        <v>0</v>
      </c>
      <c r="D211" s="46"/>
      <c r="E211" s="45"/>
      <c r="F211" s="45"/>
      <c r="G211" s="45"/>
      <c r="H211" s="45"/>
      <c r="I211" s="45"/>
      <c r="J211" s="45"/>
      <c r="K211" s="45"/>
      <c r="L211" s="45"/>
      <c r="M211" s="45"/>
      <c r="N211" s="45"/>
    </row>
    <row r="212" spans="1:14" ht="18" customHeight="1" x14ac:dyDescent="0.25">
      <c r="A212" s="45"/>
      <c r="B212" s="135" t="s">
        <v>133</v>
      </c>
      <c r="C212" s="8" t="str">
        <f>IF(AND(COUNTIF(N206:N207,"Yes")=2,C211&gt;0),"Yes","No")</f>
        <v>No</v>
      </c>
      <c r="D212" s="46"/>
      <c r="E212" s="45"/>
      <c r="F212" s="45"/>
      <c r="G212" s="45"/>
      <c r="H212" s="45"/>
      <c r="I212" s="45"/>
      <c r="J212" s="45"/>
      <c r="K212" s="45"/>
      <c r="L212" s="45"/>
      <c r="M212" s="45"/>
      <c r="N212" s="45"/>
    </row>
    <row r="213" spans="1:14" ht="21" customHeight="1" x14ac:dyDescent="0.25">
      <c r="A213" s="45"/>
      <c r="B213" s="46"/>
      <c r="C213" s="46"/>
      <c r="D213" s="46"/>
      <c r="E213" s="45"/>
      <c r="F213" s="45"/>
      <c r="G213" s="45"/>
      <c r="H213" s="45"/>
      <c r="I213" s="45"/>
      <c r="J213" s="45"/>
      <c r="K213" s="45"/>
      <c r="L213" s="45"/>
      <c r="M213" s="45"/>
      <c r="N213" s="45"/>
    </row>
    <row r="214" spans="1:14" ht="15" hidden="1" customHeight="1" x14ac:dyDescent="0.25"/>
    <row r="215" spans="1:14" ht="15" hidden="1" customHeight="1" x14ac:dyDescent="0.25"/>
    <row r="216" spans="1:14" ht="15" hidden="1" customHeight="1" x14ac:dyDescent="0.25"/>
  </sheetData>
  <sheetProtection algorithmName="SHA-512" hashValue="hjTZFasZ1JczgT8hPmoIT+ss0i1eU1BXrh0V8tt55tkmDZtnuwMU01I9sqYETXcDOz7EQ2BU4/E4iHhxddU8KQ==" saltValue="FDjZjXhWag+5M6kTZDg09g==" spinCount="100000" sheet="1" objects="1" scenarios="1" formatRows="0"/>
  <dataConsolidate/>
  <mergeCells count="142">
    <mergeCell ref="A178:M178"/>
    <mergeCell ref="A173:C173"/>
    <mergeCell ref="B170:F170"/>
    <mergeCell ref="B26:K26"/>
    <mergeCell ref="E153:F153"/>
    <mergeCell ref="B97:F97"/>
    <mergeCell ref="H97:I97"/>
    <mergeCell ref="B78:G78"/>
    <mergeCell ref="B45:G45"/>
    <mergeCell ref="B63:F63"/>
    <mergeCell ref="A74:C74"/>
    <mergeCell ref="A94:C94"/>
    <mergeCell ref="B96:F96"/>
    <mergeCell ref="B151:F151"/>
    <mergeCell ref="A132:C132"/>
    <mergeCell ref="A138:C138"/>
    <mergeCell ref="A145:C145"/>
    <mergeCell ref="H124:J124"/>
    <mergeCell ref="H125:J125"/>
    <mergeCell ref="H194:J194"/>
    <mergeCell ref="H195:J195"/>
    <mergeCell ref="A180:C180"/>
    <mergeCell ref="B187:G187"/>
    <mergeCell ref="H189:J189"/>
    <mergeCell ref="B207:F207"/>
    <mergeCell ref="H207:I207"/>
    <mergeCell ref="B206:F206"/>
    <mergeCell ref="H206:I206"/>
    <mergeCell ref="H196:J196"/>
    <mergeCell ref="H197:J197"/>
    <mergeCell ref="H198:J198"/>
    <mergeCell ref="H199:J199"/>
    <mergeCell ref="B201:D201"/>
    <mergeCell ref="H190:J190"/>
    <mergeCell ref="H191:J191"/>
    <mergeCell ref="H192:J192"/>
    <mergeCell ref="H193:J193"/>
    <mergeCell ref="A209:C209"/>
    <mergeCell ref="H47:J47"/>
    <mergeCell ref="H48:J48"/>
    <mergeCell ref="H49:J49"/>
    <mergeCell ref="H50:J50"/>
    <mergeCell ref="H51:J51"/>
    <mergeCell ref="H52:J52"/>
    <mergeCell ref="H53:J53"/>
    <mergeCell ref="H54:J54"/>
    <mergeCell ref="H55:J55"/>
    <mergeCell ref="H56:J56"/>
    <mergeCell ref="H57:J57"/>
    <mergeCell ref="H80:J80"/>
    <mergeCell ref="H81:J81"/>
    <mergeCell ref="A203:C203"/>
    <mergeCell ref="B205:F205"/>
    <mergeCell ref="H205:I205"/>
    <mergeCell ref="H119:J119"/>
    <mergeCell ref="H120:J120"/>
    <mergeCell ref="H121:J121"/>
    <mergeCell ref="H122:J122"/>
    <mergeCell ref="H123:J123"/>
    <mergeCell ref="A105:M105"/>
    <mergeCell ref="H96:I96"/>
    <mergeCell ref="H126:J126"/>
    <mergeCell ref="H127:J127"/>
    <mergeCell ref="H128:J128"/>
    <mergeCell ref="B98:F98"/>
    <mergeCell ref="H98:I98"/>
    <mergeCell ref="B135:F135"/>
    <mergeCell ref="H135:I135"/>
    <mergeCell ref="B136:F136"/>
    <mergeCell ref="H136:I136"/>
    <mergeCell ref="A100:C100"/>
    <mergeCell ref="B130:C130"/>
    <mergeCell ref="A107:C107"/>
    <mergeCell ref="B116:G116"/>
    <mergeCell ref="H118:J118"/>
    <mergeCell ref="H134:I134"/>
    <mergeCell ref="A1:M1"/>
    <mergeCell ref="H2:J4"/>
    <mergeCell ref="A19:M19"/>
    <mergeCell ref="A37:M37"/>
    <mergeCell ref="A72:M72"/>
    <mergeCell ref="A39:C39"/>
    <mergeCell ref="A61:C61"/>
    <mergeCell ref="A67:C67"/>
    <mergeCell ref="A5:M7"/>
    <mergeCell ref="B13:E13"/>
    <mergeCell ref="B14:E14"/>
    <mergeCell ref="B15:E15"/>
    <mergeCell ref="B11:E11"/>
    <mergeCell ref="A9:M9"/>
    <mergeCell ref="H63:I63"/>
    <mergeCell ref="H64:I64"/>
    <mergeCell ref="H65:I65"/>
    <mergeCell ref="B17:E17"/>
    <mergeCell ref="B64:F64"/>
    <mergeCell ref="B12:E12"/>
    <mergeCell ref="B16:E16"/>
    <mergeCell ref="B21:K21"/>
    <mergeCell ref="B59:C59"/>
    <mergeCell ref="B65:F65"/>
    <mergeCell ref="B22:K22"/>
    <mergeCell ref="B23:K23"/>
    <mergeCell ref="H85:J85"/>
    <mergeCell ref="H86:J86"/>
    <mergeCell ref="H87:J87"/>
    <mergeCell ref="H88:J88"/>
    <mergeCell ref="H89:J89"/>
    <mergeCell ref="H90:J90"/>
    <mergeCell ref="B92:C92"/>
    <mergeCell ref="H82:J82"/>
    <mergeCell ref="H83:J83"/>
    <mergeCell ref="H84:J84"/>
    <mergeCell ref="B35:K35"/>
    <mergeCell ref="B31:K31"/>
    <mergeCell ref="B24:K24"/>
    <mergeCell ref="B25:K25"/>
    <mergeCell ref="B33:K33"/>
    <mergeCell ref="B34:K34"/>
    <mergeCell ref="H171:I171"/>
    <mergeCell ref="A167:C167"/>
    <mergeCell ref="B134:F134"/>
    <mergeCell ref="B169:F169"/>
    <mergeCell ref="B28:K28"/>
    <mergeCell ref="B29:K29"/>
    <mergeCell ref="B30:K30"/>
    <mergeCell ref="B32:K32"/>
    <mergeCell ref="H169:I169"/>
    <mergeCell ref="B165:D165"/>
    <mergeCell ref="A143:M143"/>
    <mergeCell ref="H170:I170"/>
    <mergeCell ref="B171:F171"/>
    <mergeCell ref="I153:K153"/>
    <mergeCell ref="I154:K154"/>
    <mergeCell ref="I155:K155"/>
    <mergeCell ref="I156:K156"/>
    <mergeCell ref="I157:K157"/>
    <mergeCell ref="I158:K158"/>
    <mergeCell ref="I159:K159"/>
    <mergeCell ref="I160:K160"/>
    <mergeCell ref="I161:K161"/>
    <mergeCell ref="I162:K162"/>
    <mergeCell ref="I163:K163"/>
  </mergeCells>
  <conditionalFormatting sqref="B64:B65">
    <cfRule type="expression" dxfId="222" priority="49">
      <formula>#REF!&lt;&gt;"Prescriptive Path"</formula>
    </cfRule>
  </conditionalFormatting>
  <conditionalFormatting sqref="G64:G65">
    <cfRule type="expression" dxfId="221" priority="45">
      <formula>$B64="/"</formula>
    </cfRule>
    <cfRule type="expression" dxfId="220" priority="46">
      <formula>$B64="No evidence required at this submission stage"</formula>
    </cfRule>
  </conditionalFormatting>
  <conditionalFormatting sqref="H64:I65">
    <cfRule type="expression" dxfId="219" priority="43">
      <formula>$B64="No evidence required at this submission stage"</formula>
    </cfRule>
    <cfRule type="expression" dxfId="218" priority="44">
      <formula>$B64="/"</formula>
    </cfRule>
  </conditionalFormatting>
  <conditionalFormatting sqref="B97:B98">
    <cfRule type="expression" dxfId="217" priority="42">
      <formula>#REF!&lt;&gt;"Prescriptive Path"</formula>
    </cfRule>
  </conditionalFormatting>
  <conditionalFormatting sqref="B135:B136">
    <cfRule type="expression" dxfId="216" priority="37">
      <formula>#REF!&lt;&gt;"Prescriptive Path"</formula>
    </cfRule>
  </conditionalFormatting>
  <conditionalFormatting sqref="B170:B171">
    <cfRule type="expression" dxfId="215" priority="32">
      <formula>#REF!&lt;&gt;"Prescriptive Path"</formula>
    </cfRule>
  </conditionalFormatting>
  <conditionalFormatting sqref="G97:G98">
    <cfRule type="expression" dxfId="214" priority="26">
      <formula>$B97="/"</formula>
    </cfRule>
    <cfRule type="expression" dxfId="213" priority="27">
      <formula>$B97="No evidence required at this submission stage"</formula>
    </cfRule>
  </conditionalFormatting>
  <conditionalFormatting sqref="H97:I98">
    <cfRule type="expression" dxfId="212" priority="24">
      <formula>$B97="No evidence required at this submission stage"</formula>
    </cfRule>
    <cfRule type="expression" dxfId="211" priority="25">
      <formula>$B97="/"</formula>
    </cfRule>
  </conditionalFormatting>
  <conditionalFormatting sqref="G135:G136">
    <cfRule type="expression" dxfId="210" priority="22">
      <formula>$B135="/"</formula>
    </cfRule>
    <cfRule type="expression" dxfId="209" priority="23">
      <formula>$B135="No evidence required at this submission stage"</formula>
    </cfRule>
  </conditionalFormatting>
  <conditionalFormatting sqref="H135:I136">
    <cfRule type="expression" dxfId="208" priority="20">
      <formula>$B135="No evidence required at this submission stage"</formula>
    </cfRule>
    <cfRule type="expression" dxfId="207" priority="21">
      <formula>$B135="/"</formula>
    </cfRule>
  </conditionalFormatting>
  <conditionalFormatting sqref="G170:G171">
    <cfRule type="expression" dxfId="206" priority="18">
      <formula>$B170="/"</formula>
    </cfRule>
    <cfRule type="expression" dxfId="205" priority="19">
      <formula>$B170="No evidence required at this submission stage"</formula>
    </cfRule>
  </conditionalFormatting>
  <conditionalFormatting sqref="H170:I171">
    <cfRule type="expression" dxfId="204" priority="16">
      <formula>$B170="No evidence required at this submission stage"</formula>
    </cfRule>
    <cfRule type="expression" dxfId="203" priority="17">
      <formula>$B170="/"</formula>
    </cfRule>
  </conditionalFormatting>
  <conditionalFormatting sqref="D154:D163">
    <cfRule type="expression" dxfId="202" priority="15">
      <formula>$D154="Yes"</formula>
    </cfRule>
  </conditionalFormatting>
  <conditionalFormatting sqref="E154:F163">
    <cfRule type="expression" dxfId="201" priority="14">
      <formula>$D154&lt;&gt;"under concentration limit of 0.05 ppm"</formula>
    </cfRule>
  </conditionalFormatting>
  <conditionalFormatting sqref="G206:G207">
    <cfRule type="expression" dxfId="200" priority="11">
      <formula>$B206="/"</formula>
    </cfRule>
    <cfRule type="expression" dxfId="199" priority="12">
      <formula>$B206="No evidence required at this submission stage"</formula>
    </cfRule>
  </conditionalFormatting>
  <conditionalFormatting sqref="H206:I207">
    <cfRule type="expression" dxfId="198" priority="9">
      <formula>$B206="No evidence required at this submission stage"</formula>
    </cfRule>
    <cfRule type="expression" dxfId="197" priority="10">
      <formula>$B206="/"</formula>
    </cfRule>
  </conditionalFormatting>
  <conditionalFormatting sqref="E190:F199">
    <cfRule type="expression" dxfId="196" priority="8">
      <formula>$D190&lt;&gt;"Product with low-VOC content"</formula>
    </cfRule>
  </conditionalFormatting>
  <conditionalFormatting sqref="B206:B207">
    <cfRule type="expression" dxfId="195" priority="6">
      <formula>#REF!&lt;&gt;"Prescriptive Path"</formula>
    </cfRule>
  </conditionalFormatting>
  <conditionalFormatting sqref="E48:F57">
    <cfRule type="expression" dxfId="194" priority="3">
      <formula>$D48&lt;&gt;"Product with low-VOC content"</formula>
    </cfRule>
  </conditionalFormatting>
  <conditionalFormatting sqref="E81:F90">
    <cfRule type="expression" dxfId="193" priority="2">
      <formula>$D81&lt;&gt;"Product with low-VOC content"</formula>
    </cfRule>
  </conditionalFormatting>
  <conditionalFormatting sqref="E119:F128">
    <cfRule type="expression" dxfId="192" priority="1">
      <formula>$D119&lt;&gt;"Product with low-VOC content"</formula>
    </cfRule>
  </conditionalFormatting>
  <dataValidations count="10">
    <dataValidation allowBlank="1" showInputMessage="1" showErrorMessage="1" prompt="Certified as low VOC products by which internationally or regionally recognised authorities?_x000a_VOC content limit set by which internationally or regionally recognised authorities?" sqref="H48:H57 H81:H90 H119:H128 H190:H199" xr:uid="{00000000-0002-0000-2100-000000000000}"/>
    <dataValidation allowBlank="1" showInputMessage="1" showErrorMessage="1" prompt="Complete only if the product is not certified as low VOC " sqref="E189:E199 E80:E90 E47:E57 E118:E128" xr:uid="{00000000-0002-0000-2100-000001000000}"/>
    <dataValidation allowBlank="1" showInputMessage="1" showErrorMessage="1" prompt="Complete only if the product is not certified as low VOC._x000a_Use content limit value from any internationally or regionally recognised authorities (e.g. Singapore Green Label, California Air Resources Board, ISO, etc.)" sqref="F189:F199 F47:F57 F80:F90 F118:F128" xr:uid="{00000000-0002-0000-2100-000002000000}"/>
    <dataValidation type="list" allowBlank="1" showInputMessage="1" showErrorMessage="1" prompt="Select the unit for the formaldehyde content:_x000a_- ppm of formaldehyde_x000a_- or, mg/m2.h emission rate" sqref="F154:F163" xr:uid="{00000000-0002-0000-2100-000003000000}">
      <formula1>"Select,ppm,mg/m2.h"</formula1>
    </dataValidation>
    <dataValidation type="list" allowBlank="1" showInputMessage="1" showErrorMessage="1" sqref="G154:G163" xr:uid="{00000000-0002-0000-2100-000004000000}">
      <formula1>"Select, no added-urea formaldehyde,adhesive with urea-formaldehyde,no adhesive used"</formula1>
    </dataValidation>
    <dataValidation allowBlank="1" showInputMessage="1" showErrorMessage="1" prompt="Provide more details:_x000a_- Standard followed to measure formaldehyde content_x000a_- Type of adhseive used_x000a_- etc." sqref="I154:I163" xr:uid="{00000000-0002-0000-2100-000005000000}"/>
    <dataValidation type="list" allowBlank="1" showInputMessage="1" showErrorMessage="1" sqref="G64:G65 G97:G98 G135:G136 G170:G171 G206:G207" xr:uid="{00000000-0002-0000-2100-000006000000}">
      <formula1>"Select,Submitted,Not submitted"</formula1>
    </dataValidation>
    <dataValidation allowBlank="1" showInputMessage="1" showErrorMessage="1" prompt="(only if product is considered as low formaldehyde because the formaldehyde content is lower than the concentration limit of 0.05 ppm)" sqref="E153:F153 E154:E163" xr:uid="{00000000-0002-0000-2100-000008000000}"/>
    <dataValidation type="list" allowBlank="1" showInputMessage="1" showErrorMessage="1" sqref="D48:D57 D81:D90 D119:D128 D190:D199" xr:uid="{BDADED0B-818B-4C48-BCCB-933FC3B3D980}">
      <formula1>"Select,Certified product,Product with low-VOC content,Inherently non-emitting product,Salvaged,Compliant with CDPH Standard,No"</formula1>
    </dataValidation>
    <dataValidation type="list" allowBlank="1" showInputMessage="1" showErrorMessage="1" sqref="D154:D163" xr:uid="{D696FC11-9182-45E0-A10E-0A288937662B}">
      <formula1>"Select,Certified product,no UF and no PF resins, ULEF, NAF, under concentration limit of 0.05 ppm,Salvaged,Compliant with CDPH Standard,No"</formula1>
    </dataValidation>
  </dataValidations>
  <hyperlinks>
    <hyperlink ref="M3" location="'H&amp;C BPC'!B3" tooltip="H-BPC" display="H-BPC" xr:uid="{00000000-0004-0000-2100-000000000000}"/>
    <hyperlink ref="K3" location="'H-3 Interior Plants'!B3" tooltip="H-3" display="H-3" xr:uid="{00000000-0004-0000-2100-000001000000}"/>
    <hyperlink ref="K4" location="'H-4 Green Cleaning'!B3" tooltip="H-4" display="H-4" xr:uid="{00000000-0004-0000-2100-000002000000}"/>
    <hyperlink ref="L2" location="'H-5 Daylighting'!B3" tooltip="H-5" display="H-5" xr:uid="{00000000-0004-0000-2100-000003000000}"/>
    <hyperlink ref="L3" location="'H-6 External Views'!B3" tooltip="H-6" display="H-6" xr:uid="{00000000-0004-0000-2100-000004000000}"/>
    <hyperlink ref="L4" location="'H-7 Thermal Comfort'!B3" tooltip="H-7" display="H-7" xr:uid="{00000000-0004-0000-2100-000005000000}"/>
    <hyperlink ref="K2" location="'H-1 Fresh Air Supply'!B3" tooltip="H-1" display="H-1" xr:uid="{00000000-0004-0000-2100-000006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tabColor rgb="FF943634"/>
  </sheetPr>
  <dimension ref="A1:O115"/>
  <sheetViews>
    <sheetView showGridLines="0"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5.7109375" style="35" customWidth="1"/>
    <col min="2" max="2" width="18.7109375" style="35" customWidth="1"/>
    <col min="3" max="3" width="17" style="35" customWidth="1"/>
    <col min="4" max="6" width="18.42578125" style="35" customWidth="1"/>
    <col min="7" max="7" width="21.7109375" style="35" customWidth="1"/>
    <col min="8" max="8" width="22.28515625" style="35" customWidth="1"/>
    <col min="9" max="9" width="16.28515625" style="35" customWidth="1"/>
    <col min="10" max="12" width="8.28515625" style="35" customWidth="1"/>
    <col min="13" max="16384" width="9.140625" style="35" hidden="1"/>
  </cols>
  <sheetData>
    <row r="1" spans="1:12" ht="25.5" customHeight="1" x14ac:dyDescent="0.25">
      <c r="A1" s="2110" t="s">
        <v>1687</v>
      </c>
      <c r="B1" s="2110"/>
      <c r="C1" s="2110"/>
      <c r="D1" s="2110"/>
      <c r="E1" s="2110"/>
      <c r="F1" s="2110"/>
      <c r="G1" s="2110"/>
      <c r="H1" s="2110"/>
      <c r="I1" s="2110"/>
      <c r="J1" s="2110"/>
      <c r="K1" s="2110"/>
      <c r="L1" s="2110"/>
    </row>
    <row r="2" spans="1:12" ht="15" customHeight="1" x14ac:dyDescent="0.25">
      <c r="A2" s="45"/>
      <c r="B2" s="46"/>
      <c r="C2" s="46"/>
      <c r="D2" s="46"/>
      <c r="E2" s="46"/>
      <c r="F2" s="45"/>
      <c r="G2" s="45"/>
      <c r="H2" s="1753" t="s">
        <v>1264</v>
      </c>
      <c r="I2" s="1753"/>
      <c r="J2" s="588" t="s">
        <v>26</v>
      </c>
      <c r="K2" s="588" t="s">
        <v>205</v>
      </c>
      <c r="L2" s="588"/>
    </row>
    <row r="3" spans="1:12" ht="15" customHeight="1" x14ac:dyDescent="0.25">
      <c r="A3" s="45"/>
      <c r="B3" s="46"/>
      <c r="C3" s="46"/>
      <c r="D3" s="46"/>
      <c r="E3" s="46"/>
      <c r="F3" s="45"/>
      <c r="G3" s="45"/>
      <c r="H3" s="1753"/>
      <c r="I3" s="1753"/>
      <c r="J3" s="588" t="s">
        <v>28</v>
      </c>
      <c r="K3" s="588" t="s">
        <v>255</v>
      </c>
      <c r="L3" s="588" t="s">
        <v>1686</v>
      </c>
    </row>
    <row r="4" spans="1:12" ht="15" customHeight="1" x14ac:dyDescent="0.25">
      <c r="A4" s="45"/>
      <c r="B4" s="46"/>
      <c r="C4" s="46"/>
      <c r="D4" s="46"/>
      <c r="E4" s="46"/>
      <c r="F4" s="45"/>
      <c r="G4" s="45"/>
      <c r="H4" s="1754"/>
      <c r="I4" s="1754"/>
      <c r="J4" s="588" t="s">
        <v>33</v>
      </c>
      <c r="K4" s="588" t="s">
        <v>256</v>
      </c>
      <c r="L4" s="588"/>
    </row>
    <row r="5" spans="1:12" ht="18" customHeight="1" x14ac:dyDescent="0.25">
      <c r="A5" s="1656" t="s">
        <v>2635</v>
      </c>
      <c r="B5" s="1657"/>
      <c r="C5" s="1657"/>
      <c r="D5" s="1657"/>
      <c r="E5" s="1657"/>
      <c r="F5" s="1657"/>
      <c r="G5" s="1657"/>
      <c r="H5" s="1657"/>
      <c r="I5" s="1657"/>
      <c r="J5" s="1657"/>
      <c r="K5" s="1657"/>
      <c r="L5" s="1657"/>
    </row>
    <row r="6" spans="1:12" ht="18" customHeight="1" x14ac:dyDescent="0.25">
      <c r="A6" s="1659"/>
      <c r="B6" s="1660"/>
      <c r="C6" s="1660"/>
      <c r="D6" s="1660"/>
      <c r="E6" s="1660"/>
      <c r="F6" s="1660"/>
      <c r="G6" s="1660"/>
      <c r="H6" s="1660"/>
      <c r="I6" s="1660"/>
      <c r="J6" s="1660"/>
      <c r="K6" s="1660"/>
      <c r="L6" s="1660"/>
    </row>
    <row r="7" spans="1:12" ht="18" customHeight="1" x14ac:dyDescent="0.25">
      <c r="A7" s="1662"/>
      <c r="B7" s="1663"/>
      <c r="C7" s="1663"/>
      <c r="D7" s="1663"/>
      <c r="E7" s="1663"/>
      <c r="F7" s="1663"/>
      <c r="G7" s="1663"/>
      <c r="H7" s="1663"/>
      <c r="I7" s="1663"/>
      <c r="J7" s="1663"/>
      <c r="K7" s="1663"/>
      <c r="L7" s="1663"/>
    </row>
    <row r="8" spans="1:12" ht="12" customHeight="1" x14ac:dyDescent="0.25">
      <c r="A8" s="45"/>
      <c r="B8" s="46"/>
      <c r="C8" s="46"/>
      <c r="D8" s="46"/>
      <c r="E8" s="46"/>
      <c r="F8" s="45"/>
      <c r="G8" s="45"/>
      <c r="H8" s="45"/>
      <c r="I8" s="45"/>
      <c r="J8" s="45"/>
      <c r="K8" s="45"/>
      <c r="L8" s="45"/>
    </row>
    <row r="9" spans="1:12" ht="18" customHeight="1" x14ac:dyDescent="0.25">
      <c r="A9" s="2107" t="s">
        <v>82</v>
      </c>
      <c r="B9" s="2107"/>
      <c r="C9" s="2107"/>
      <c r="D9" s="2107"/>
      <c r="E9" s="2107"/>
      <c r="F9" s="2107"/>
      <c r="G9" s="2107"/>
      <c r="H9" s="2107"/>
      <c r="I9" s="2107"/>
      <c r="J9" s="2107"/>
      <c r="K9" s="2107"/>
      <c r="L9" s="2107"/>
    </row>
    <row r="10" spans="1:12" x14ac:dyDescent="0.25">
      <c r="A10" s="45"/>
      <c r="B10" s="46"/>
      <c r="C10" s="46"/>
      <c r="D10" s="46"/>
      <c r="E10" s="46"/>
      <c r="F10" s="45"/>
      <c r="G10" s="45"/>
      <c r="H10" s="45"/>
      <c r="I10" s="45"/>
      <c r="J10" s="45"/>
      <c r="K10" s="45"/>
      <c r="L10" s="45"/>
    </row>
    <row r="11" spans="1:12" ht="21" customHeight="1" x14ac:dyDescent="0.25">
      <c r="A11" s="45"/>
      <c r="B11" s="2111" t="s">
        <v>83</v>
      </c>
      <c r="C11" s="2112"/>
      <c r="D11" s="2112"/>
      <c r="E11" s="2112"/>
      <c r="F11" s="541" t="s">
        <v>64</v>
      </c>
      <c r="G11" s="541" t="s">
        <v>16</v>
      </c>
      <c r="H11" s="47" t="s">
        <v>133</v>
      </c>
      <c r="I11" s="45"/>
      <c r="J11" s="45"/>
      <c r="K11" s="45"/>
      <c r="L11" s="45"/>
    </row>
    <row r="12" spans="1:12" ht="21" customHeight="1" x14ac:dyDescent="0.25">
      <c r="A12" s="45"/>
      <c r="B12" s="2113" t="s">
        <v>948</v>
      </c>
      <c r="C12" s="2114"/>
      <c r="D12" s="2114"/>
      <c r="E12" s="2115"/>
      <c r="F12" s="281">
        <v>1</v>
      </c>
      <c r="G12" s="281">
        <f>C51</f>
        <v>0</v>
      </c>
      <c r="H12" s="281" t="str">
        <f>C52</f>
        <v>No</v>
      </c>
      <c r="I12" s="45"/>
      <c r="J12" s="45"/>
      <c r="K12" s="45"/>
      <c r="L12" s="45"/>
    </row>
    <row r="13" spans="1:12" x14ac:dyDescent="0.25">
      <c r="A13" s="45"/>
      <c r="B13" s="46"/>
      <c r="C13" s="46"/>
      <c r="D13" s="46"/>
      <c r="E13" s="46"/>
      <c r="F13" s="45"/>
      <c r="G13" s="45"/>
      <c r="H13" s="45"/>
      <c r="I13" s="45"/>
      <c r="J13" s="45"/>
      <c r="K13" s="45"/>
      <c r="L13" s="45"/>
    </row>
    <row r="14" spans="1:12" ht="18" customHeight="1" x14ac:dyDescent="0.25">
      <c r="A14" s="2107" t="s">
        <v>102</v>
      </c>
      <c r="B14" s="2107"/>
      <c r="C14" s="2107"/>
      <c r="D14" s="2107"/>
      <c r="E14" s="2107"/>
      <c r="F14" s="2107"/>
      <c r="G14" s="2107"/>
      <c r="H14" s="2107"/>
      <c r="I14" s="2107"/>
      <c r="J14" s="2107"/>
      <c r="K14" s="2107"/>
      <c r="L14" s="2107"/>
    </row>
    <row r="15" spans="1:12" ht="12" customHeight="1" x14ac:dyDescent="0.25">
      <c r="A15" s="45"/>
      <c r="B15" s="46"/>
      <c r="C15" s="46"/>
      <c r="D15" s="46"/>
      <c r="E15" s="46"/>
      <c r="F15" s="45"/>
      <c r="G15" s="45"/>
      <c r="H15" s="45"/>
      <c r="I15" s="45"/>
      <c r="J15" s="45"/>
      <c r="K15" s="45"/>
      <c r="L15" s="45"/>
    </row>
    <row r="16" spans="1:12" x14ac:dyDescent="0.25">
      <c r="A16" s="45"/>
      <c r="B16" s="2146" t="s">
        <v>949</v>
      </c>
      <c r="C16" s="2146"/>
      <c r="D16" s="2146"/>
      <c r="E16" s="2146"/>
      <c r="F16" s="2146"/>
      <c r="G16" s="2146"/>
      <c r="H16" s="2146"/>
      <c r="I16" s="2146"/>
      <c r="J16" s="45"/>
      <c r="K16" s="45"/>
      <c r="L16" s="45"/>
    </row>
    <row r="17" spans="1:15" ht="12.75" customHeight="1" x14ac:dyDescent="0.25">
      <c r="A17" s="45"/>
      <c r="B17" s="112"/>
      <c r="C17" s="46"/>
      <c r="D17" s="46"/>
      <c r="E17" s="46"/>
      <c r="F17" s="45"/>
      <c r="G17" s="45"/>
      <c r="H17" s="45"/>
      <c r="I17" s="45"/>
      <c r="J17" s="45"/>
      <c r="K17" s="45"/>
      <c r="L17" s="45"/>
    </row>
    <row r="18" spans="1:15" x14ac:dyDescent="0.25">
      <c r="A18" s="45"/>
      <c r="B18" s="2137" t="s">
        <v>946</v>
      </c>
      <c r="C18" s="2138"/>
      <c r="D18" s="2138"/>
      <c r="E18" s="2138"/>
      <c r="F18" s="2138"/>
      <c r="G18" s="2138"/>
      <c r="H18" s="2138"/>
      <c r="I18" s="2139"/>
      <c r="J18" s="45"/>
      <c r="K18" s="45"/>
      <c r="L18" s="45"/>
    </row>
    <row r="19" spans="1:15" ht="15" customHeight="1" x14ac:dyDescent="0.25">
      <c r="A19" s="45"/>
      <c r="B19" s="2140" t="s">
        <v>342</v>
      </c>
      <c r="C19" s="2122"/>
      <c r="D19" s="2122"/>
      <c r="E19" s="2122"/>
      <c r="F19" s="2122"/>
      <c r="G19" s="2122"/>
      <c r="H19" s="2122"/>
      <c r="I19" s="2141"/>
      <c r="J19" s="45"/>
      <c r="K19" s="45"/>
      <c r="L19" s="45"/>
    </row>
    <row r="20" spans="1:15" x14ac:dyDescent="0.25">
      <c r="A20" s="45"/>
      <c r="B20" s="2140" t="s">
        <v>1461</v>
      </c>
      <c r="C20" s="2122"/>
      <c r="D20" s="2122"/>
      <c r="E20" s="2122"/>
      <c r="F20" s="2122"/>
      <c r="G20" s="2122"/>
      <c r="H20" s="2122"/>
      <c r="I20" s="2141"/>
      <c r="J20" s="45"/>
      <c r="K20" s="45"/>
      <c r="L20" s="45"/>
    </row>
    <row r="21" spans="1:15" x14ac:dyDescent="0.25">
      <c r="A21" s="45"/>
      <c r="B21" s="2142" t="s">
        <v>947</v>
      </c>
      <c r="C21" s="2143"/>
      <c r="D21" s="2143"/>
      <c r="E21" s="2143"/>
      <c r="F21" s="2143"/>
      <c r="G21" s="2143"/>
      <c r="H21" s="2143"/>
      <c r="I21" s="2144"/>
      <c r="J21" s="45"/>
      <c r="K21" s="45"/>
      <c r="L21" s="45"/>
    </row>
    <row r="22" spans="1:15" ht="18" customHeight="1" x14ac:dyDescent="0.25">
      <c r="A22" s="45"/>
      <c r="B22" s="311"/>
      <c r="C22" s="46"/>
      <c r="D22" s="46"/>
      <c r="E22" s="46"/>
      <c r="F22" s="45"/>
      <c r="G22" s="45"/>
      <c r="H22" s="45"/>
      <c r="I22" s="45"/>
      <c r="J22" s="45"/>
      <c r="K22" s="45"/>
      <c r="L22" s="45"/>
    </row>
    <row r="23" spans="1:15" ht="18" customHeight="1" x14ac:dyDescent="0.25">
      <c r="A23" s="45"/>
      <c r="B23" s="535" t="s">
        <v>738</v>
      </c>
      <c r="C23" s="46"/>
      <c r="D23" s="46"/>
      <c r="E23" s="46"/>
      <c r="F23" s="45"/>
      <c r="G23" s="2136" t="s">
        <v>790</v>
      </c>
      <c r="H23" s="2136"/>
      <c r="I23" s="2136"/>
      <c r="J23" s="2136"/>
      <c r="K23" s="2136"/>
      <c r="L23" s="45"/>
    </row>
    <row r="24" spans="1:15" ht="9" customHeight="1" x14ac:dyDescent="0.25">
      <c r="A24" s="45"/>
      <c r="B24" s="311"/>
      <c r="C24" s="46"/>
      <c r="D24" s="46"/>
      <c r="E24" s="46"/>
      <c r="F24" s="45"/>
      <c r="G24" s="2136"/>
      <c r="H24" s="2136"/>
      <c r="I24" s="2136"/>
      <c r="J24" s="2136"/>
      <c r="K24" s="2136"/>
      <c r="L24" s="437"/>
    </row>
    <row r="25" spans="1:15" ht="27" customHeight="1" x14ac:dyDescent="0.25">
      <c r="A25" s="45"/>
      <c r="B25" s="238" t="s">
        <v>343</v>
      </c>
      <c r="C25" s="243" t="s">
        <v>356</v>
      </c>
      <c r="D25" s="243" t="s">
        <v>344</v>
      </c>
      <c r="E25" s="243" t="s">
        <v>353</v>
      </c>
      <c r="F25" s="243" t="s">
        <v>345</v>
      </c>
      <c r="G25" s="45"/>
      <c r="H25" s="310" t="s">
        <v>344</v>
      </c>
      <c r="I25" s="2127" t="s">
        <v>570</v>
      </c>
      <c r="J25" s="2128"/>
      <c r="K25" s="45"/>
      <c r="L25" s="45"/>
    </row>
    <row r="26" spans="1:15" ht="15" customHeight="1" x14ac:dyDescent="0.25">
      <c r="A26" s="45"/>
      <c r="B26" s="304"/>
      <c r="C26" s="304"/>
      <c r="D26" s="304"/>
      <c r="E26" s="313" t="str">
        <f t="shared" ref="E26:E35" si="0">IFERROR(O26*C26,"")</f>
        <v/>
      </c>
      <c r="F26" s="304" t="s">
        <v>53</v>
      </c>
      <c r="G26" s="45"/>
      <c r="H26" s="312" t="s">
        <v>348</v>
      </c>
      <c r="I26" s="2135">
        <v>0.2</v>
      </c>
      <c r="J26" s="2135"/>
      <c r="K26" s="45"/>
      <c r="L26" s="45"/>
      <c r="N26" s="35" t="str">
        <f>IF(OR(D26="",D26=0,ISNUMBER(D26)=FALSE),"",IF(D26&lt;100,$H$26,IF(D26&lt;200,$H$27,IF(D26&lt;250,$H$28,IF(D26&lt;320,$H$29,IF(D26&lt;400,$H$30,IF(D26&lt;550,$H$31,$H$32)))))))</f>
        <v/>
      </c>
      <c r="O26" s="35" t="e">
        <f>VLOOKUP(N26,$H$25:$J$32,2,FALSE)</f>
        <v>#N/A</v>
      </c>
    </row>
    <row r="27" spans="1:15" ht="15" customHeight="1" x14ac:dyDescent="0.25">
      <c r="A27" s="45"/>
      <c r="B27" s="304"/>
      <c r="C27" s="304"/>
      <c r="D27" s="304"/>
      <c r="E27" s="313" t="str">
        <f t="shared" si="0"/>
        <v/>
      </c>
      <c r="F27" s="304" t="s">
        <v>53</v>
      </c>
      <c r="G27" s="45"/>
      <c r="H27" s="312" t="s">
        <v>347</v>
      </c>
      <c r="I27" s="2135">
        <v>0.33</v>
      </c>
      <c r="J27" s="2135"/>
      <c r="K27" s="45"/>
      <c r="L27" s="45"/>
      <c r="N27" s="35" t="str">
        <f t="shared" ref="N27:N35" si="1">IF(OR(D27="",D27=0),"",IF(D27&lt;100,$H$26,IF(D27&lt;200,$H$27,IF(D27&lt;250,$H$28,IF(D27&lt;320,$H$29,IF(D27&lt;400,$H$30,IF(D27&lt;550,$H$31,$H$32)))))))</f>
        <v/>
      </c>
      <c r="O27" s="35" t="e">
        <f t="shared" ref="O27:O35" si="2">VLOOKUP(N27,$H$25:$J$32,2,FALSE)</f>
        <v>#N/A</v>
      </c>
    </row>
    <row r="28" spans="1:15" ht="15" customHeight="1" x14ac:dyDescent="0.25">
      <c r="A28" s="45"/>
      <c r="B28" s="304"/>
      <c r="C28" s="304"/>
      <c r="D28" s="304"/>
      <c r="E28" s="313" t="str">
        <f t="shared" si="0"/>
        <v/>
      </c>
      <c r="F28" s="304" t="s">
        <v>53</v>
      </c>
      <c r="G28" s="45"/>
      <c r="H28" s="312" t="s">
        <v>349</v>
      </c>
      <c r="I28" s="2135">
        <v>0.5</v>
      </c>
      <c r="J28" s="2135"/>
      <c r="K28" s="45"/>
      <c r="L28" s="45"/>
      <c r="N28" s="35" t="str">
        <f t="shared" si="1"/>
        <v/>
      </c>
      <c r="O28" s="35" t="e">
        <f t="shared" si="2"/>
        <v>#N/A</v>
      </c>
    </row>
    <row r="29" spans="1:15" ht="15" customHeight="1" x14ac:dyDescent="0.25">
      <c r="A29" s="45"/>
      <c r="B29" s="304"/>
      <c r="C29" s="304"/>
      <c r="D29" s="304"/>
      <c r="E29" s="313" t="str">
        <f t="shared" si="0"/>
        <v/>
      </c>
      <c r="F29" s="304" t="s">
        <v>53</v>
      </c>
      <c r="G29" s="45"/>
      <c r="H29" s="312" t="s">
        <v>350</v>
      </c>
      <c r="I29" s="2135">
        <v>1</v>
      </c>
      <c r="J29" s="2135"/>
      <c r="K29" s="45"/>
      <c r="L29" s="45"/>
      <c r="N29" s="35" t="str">
        <f t="shared" si="1"/>
        <v/>
      </c>
      <c r="O29" s="35" t="e">
        <f t="shared" si="2"/>
        <v>#N/A</v>
      </c>
    </row>
    <row r="30" spans="1:15" x14ac:dyDescent="0.25">
      <c r="A30" s="45"/>
      <c r="B30" s="304"/>
      <c r="C30" s="304"/>
      <c r="D30" s="304"/>
      <c r="E30" s="313" t="str">
        <f t="shared" si="0"/>
        <v/>
      </c>
      <c r="F30" s="304" t="s">
        <v>53</v>
      </c>
      <c r="G30" s="45"/>
      <c r="H30" s="312" t="s">
        <v>351</v>
      </c>
      <c r="I30" s="2135">
        <v>2</v>
      </c>
      <c r="J30" s="2135"/>
      <c r="K30" s="45"/>
      <c r="L30" s="45"/>
      <c r="N30" s="35" t="str">
        <f t="shared" si="1"/>
        <v/>
      </c>
      <c r="O30" s="35" t="e">
        <f t="shared" si="2"/>
        <v>#N/A</v>
      </c>
    </row>
    <row r="31" spans="1:15" ht="15" customHeight="1" x14ac:dyDescent="0.25">
      <c r="A31" s="45"/>
      <c r="B31" s="304"/>
      <c r="C31" s="304"/>
      <c r="D31" s="304"/>
      <c r="E31" s="313" t="str">
        <f t="shared" si="0"/>
        <v/>
      </c>
      <c r="F31" s="304" t="s">
        <v>53</v>
      </c>
      <c r="G31" s="45"/>
      <c r="H31" s="312" t="s">
        <v>352</v>
      </c>
      <c r="I31" s="2135">
        <v>3</v>
      </c>
      <c r="J31" s="2135"/>
      <c r="K31" s="45"/>
      <c r="L31" s="45"/>
      <c r="N31" s="35" t="str">
        <f t="shared" si="1"/>
        <v/>
      </c>
      <c r="O31" s="35" t="e">
        <f t="shared" si="2"/>
        <v>#N/A</v>
      </c>
    </row>
    <row r="32" spans="1:15" ht="15" customHeight="1" x14ac:dyDescent="0.25">
      <c r="A32" s="45"/>
      <c r="B32" s="304"/>
      <c r="C32" s="304"/>
      <c r="D32" s="304"/>
      <c r="E32" s="313" t="str">
        <f t="shared" si="0"/>
        <v/>
      </c>
      <c r="F32" s="304" t="s">
        <v>53</v>
      </c>
      <c r="G32" s="45"/>
      <c r="H32" s="312" t="s">
        <v>354</v>
      </c>
      <c r="I32" s="2135">
        <v>4</v>
      </c>
      <c r="J32" s="2135"/>
      <c r="K32" s="45"/>
      <c r="L32" s="45"/>
      <c r="N32" s="35" t="str">
        <f t="shared" si="1"/>
        <v/>
      </c>
      <c r="O32" s="35" t="e">
        <f t="shared" si="2"/>
        <v>#N/A</v>
      </c>
    </row>
    <row r="33" spans="1:15" ht="15" customHeight="1" x14ac:dyDescent="0.25">
      <c r="A33" s="45"/>
      <c r="B33" s="304"/>
      <c r="C33" s="304"/>
      <c r="D33" s="304"/>
      <c r="E33" s="313" t="str">
        <f t="shared" si="0"/>
        <v/>
      </c>
      <c r="F33" s="304" t="s">
        <v>53</v>
      </c>
      <c r="G33" s="45"/>
      <c r="H33" s="2135" t="s">
        <v>355</v>
      </c>
      <c r="I33" s="2135" t="s">
        <v>357</v>
      </c>
      <c r="J33" s="2135"/>
      <c r="K33" s="45"/>
      <c r="L33" s="45"/>
      <c r="N33" s="35" t="str">
        <f t="shared" si="1"/>
        <v/>
      </c>
      <c r="O33" s="35" t="e">
        <f t="shared" si="2"/>
        <v>#N/A</v>
      </c>
    </row>
    <row r="34" spans="1:15" ht="15" customHeight="1" x14ac:dyDescent="0.25">
      <c r="A34" s="45"/>
      <c r="B34" s="304"/>
      <c r="C34" s="304"/>
      <c r="D34" s="304"/>
      <c r="E34" s="313" t="str">
        <f t="shared" si="0"/>
        <v/>
      </c>
      <c r="F34" s="304" t="s">
        <v>53</v>
      </c>
      <c r="G34" s="45"/>
      <c r="H34" s="2135"/>
      <c r="I34" s="2135"/>
      <c r="J34" s="2135"/>
      <c r="K34" s="45"/>
      <c r="L34" s="45"/>
      <c r="N34" s="35" t="str">
        <f t="shared" si="1"/>
        <v/>
      </c>
      <c r="O34" s="35" t="e">
        <f t="shared" si="2"/>
        <v>#N/A</v>
      </c>
    </row>
    <row r="35" spans="1:15" ht="15" customHeight="1" x14ac:dyDescent="0.25">
      <c r="A35" s="45"/>
      <c r="B35" s="304"/>
      <c r="C35" s="304"/>
      <c r="D35" s="304"/>
      <c r="E35" s="313" t="str">
        <f t="shared" si="0"/>
        <v/>
      </c>
      <c r="F35" s="304" t="s">
        <v>53</v>
      </c>
      <c r="G35" s="45"/>
      <c r="H35" s="2135"/>
      <c r="I35" s="2135"/>
      <c r="J35" s="2135"/>
      <c r="K35" s="45"/>
      <c r="L35" s="45"/>
      <c r="N35" s="35" t="str">
        <f t="shared" si="1"/>
        <v/>
      </c>
      <c r="O35" s="35" t="e">
        <f t="shared" si="2"/>
        <v>#N/A</v>
      </c>
    </row>
    <row r="36" spans="1:15" ht="14.25" customHeight="1" x14ac:dyDescent="0.25">
      <c r="A36" s="45"/>
      <c r="B36" s="45"/>
      <c r="C36" s="45"/>
      <c r="D36" s="45"/>
      <c r="E36" s="314">
        <f>SUMIF(F26:F35,"Yes",E26:E35)</f>
        <v>0</v>
      </c>
      <c r="F36" s="45"/>
      <c r="G36" s="45"/>
      <c r="H36" s="45"/>
      <c r="I36" s="45"/>
      <c r="J36" s="45"/>
      <c r="K36" s="45"/>
      <c r="L36" s="45"/>
    </row>
    <row r="37" spans="1:15" ht="14.25" customHeight="1" x14ac:dyDescent="0.25">
      <c r="A37" s="45"/>
      <c r="B37" s="45"/>
      <c r="C37" s="45"/>
      <c r="D37" s="45"/>
      <c r="E37" s="45"/>
      <c r="F37" s="45"/>
      <c r="G37" s="45"/>
      <c r="H37" s="45"/>
      <c r="I37" s="45"/>
      <c r="J37" s="45"/>
      <c r="K37" s="45"/>
      <c r="L37" s="45"/>
    </row>
    <row r="38" spans="1:15" ht="16.5" customHeight="1" x14ac:dyDescent="0.25">
      <c r="A38" s="45"/>
      <c r="B38" s="2145" t="s">
        <v>346</v>
      </c>
      <c r="C38" s="2128"/>
      <c r="D38" s="305"/>
      <c r="E38" s="315" t="str">
        <f>IF(D38="","","Density:")</f>
        <v/>
      </c>
      <c r="F38" s="45" t="str">
        <f>IF(D38="","",CONCATENATE(ROUNDUP(E36*2/D38,2)," plant units for 2 full time occupants"))</f>
        <v/>
      </c>
      <c r="G38" s="45"/>
      <c r="H38" s="45"/>
      <c r="I38" s="45"/>
      <c r="J38" s="45"/>
      <c r="K38" s="45"/>
      <c r="L38" s="45"/>
    </row>
    <row r="39" spans="1:15" ht="16.5" customHeight="1" x14ac:dyDescent="0.25">
      <c r="A39" s="45"/>
      <c r="B39" s="2145" t="s">
        <v>341</v>
      </c>
      <c r="C39" s="2128"/>
      <c r="D39" s="305"/>
      <c r="E39" s="315" t="str">
        <f>IF(D39="","","Density:")</f>
        <v/>
      </c>
      <c r="F39" s="45" t="str">
        <f>IF(D39="","",CONCATENATE(ROUNDUP(E36*50/D39,2)," plant units per 50 m2 of occupied area"))</f>
        <v/>
      </c>
      <c r="G39" s="45"/>
      <c r="H39" s="45"/>
      <c r="I39" s="45"/>
      <c r="J39" s="306"/>
      <c r="K39" s="45"/>
      <c r="L39" s="45"/>
    </row>
    <row r="40" spans="1:15" ht="19.5" customHeight="1" x14ac:dyDescent="0.25">
      <c r="A40" s="45"/>
      <c r="E40" s="306"/>
      <c r="F40" s="306"/>
      <c r="G40" s="306"/>
      <c r="H40" s="45"/>
      <c r="I40" s="306"/>
      <c r="J40" s="306"/>
      <c r="K40" s="45"/>
      <c r="L40" s="45"/>
    </row>
    <row r="41" spans="1:15" ht="18" customHeight="1" x14ac:dyDescent="0.25">
      <c r="A41" s="45"/>
      <c r="B41" s="2108" t="s">
        <v>340</v>
      </c>
      <c r="C41" s="2108"/>
      <c r="D41" s="66" t="str">
        <f>IFERROR(IF(AND(COUNTIF(F26:F35,"Yes")&gt;=1,COUNTIF(F26:F35,"No")=0),IF(MIN(E36*50/D39,E36*2/D38)&gt;=1,"Yes","No"),"No"),"")</f>
        <v>No</v>
      </c>
      <c r="E41" s="45"/>
      <c r="F41" s="45"/>
      <c r="G41" s="45"/>
      <c r="H41" s="45"/>
      <c r="I41" s="45"/>
      <c r="J41" s="45"/>
      <c r="K41" s="45"/>
      <c r="L41" s="45"/>
    </row>
    <row r="42" spans="1:15" ht="19.5" customHeight="1" x14ac:dyDescent="0.25">
      <c r="A42" s="45"/>
      <c r="B42" s="46"/>
      <c r="C42" s="46"/>
      <c r="D42" s="46"/>
      <c r="E42" s="45"/>
      <c r="F42" s="45"/>
      <c r="G42" s="45"/>
      <c r="H42" s="45"/>
      <c r="I42" s="45"/>
      <c r="J42" s="45"/>
      <c r="K42" s="45"/>
      <c r="L42" s="45"/>
    </row>
    <row r="43" spans="1:15" ht="18" customHeight="1" x14ac:dyDescent="0.25">
      <c r="A43" s="2107" t="s">
        <v>84</v>
      </c>
      <c r="B43" s="2107"/>
      <c r="C43" s="2107"/>
      <c r="D43" s="2107"/>
      <c r="E43" s="2107"/>
      <c r="F43" s="2107"/>
      <c r="G43" s="2107"/>
      <c r="H43" s="2107"/>
      <c r="I43" s="2107"/>
      <c r="J43" s="2107"/>
      <c r="K43" s="2107"/>
      <c r="L43" s="2107"/>
    </row>
    <row r="44" spans="1:15" x14ac:dyDescent="0.25">
      <c r="A44" s="45"/>
      <c r="B44" s="45"/>
      <c r="C44" s="45"/>
      <c r="D44" s="45"/>
      <c r="E44" s="45"/>
      <c r="F44" s="45"/>
      <c r="G44" s="45"/>
      <c r="H44" s="45"/>
      <c r="I44" s="45"/>
      <c r="J44" s="45"/>
      <c r="K44" s="45"/>
      <c r="L44" s="45"/>
    </row>
    <row r="45" spans="1:15" ht="21" customHeight="1" x14ac:dyDescent="0.25">
      <c r="A45" s="45"/>
      <c r="B45" s="2104" t="s">
        <v>85</v>
      </c>
      <c r="C45" s="2105"/>
      <c r="D45" s="2105"/>
      <c r="E45" s="2105"/>
      <c r="F45" s="2105"/>
      <c r="G45" s="239" t="s">
        <v>907</v>
      </c>
      <c r="H45" s="2106" t="s">
        <v>908</v>
      </c>
      <c r="I45" s="2106"/>
      <c r="J45" s="45"/>
      <c r="K45" s="45"/>
      <c r="L45" s="45"/>
    </row>
    <row r="46" spans="1:15" ht="30" customHeight="1" x14ac:dyDescent="0.25">
      <c r="A46" s="45"/>
      <c r="B46" s="1648" t="str">
        <f>Submittals!G82</f>
        <v>• Evidence showing that the plants installed are suitable to indoor environments such as letter of confirmation from the plant supplier, published document, etc.</v>
      </c>
      <c r="C46" s="1649"/>
      <c r="D46" s="1649"/>
      <c r="E46" s="1649"/>
      <c r="F46" s="1649"/>
      <c r="G46" s="643" t="s">
        <v>53</v>
      </c>
      <c r="H46" s="1689"/>
      <c r="I46" s="1690"/>
      <c r="J46" s="45"/>
      <c r="K46" s="45"/>
      <c r="L46" s="45"/>
      <c r="M46" s="35" t="str">
        <f>IF(OR(B46="/",B46="No evidence required at this submission stage"),"Yes",IF(H46="Submitted","Yes","No"))</f>
        <v>No</v>
      </c>
    </row>
    <row r="47" spans="1:15" ht="27" customHeight="1" x14ac:dyDescent="0.25">
      <c r="A47" s="45"/>
      <c r="B47" s="1648" t="str">
        <f>Submittals!G83</f>
        <v>• Evidence showing the quantity and species of plants installed such as photographs, receipts, invoices, etc.</v>
      </c>
      <c r="C47" s="1649"/>
      <c r="D47" s="1649"/>
      <c r="E47" s="1649"/>
      <c r="F47" s="1649"/>
      <c r="G47" s="643" t="s">
        <v>53</v>
      </c>
      <c r="H47" s="1689"/>
      <c r="I47" s="1690"/>
      <c r="J47" s="45"/>
      <c r="K47" s="45"/>
      <c r="L47" s="45"/>
      <c r="M47" s="35" t="str">
        <f>IF(OR(B47="/",B47="No evidence required at this submission stage"),"Yes",IF(H47="Submitted","Yes","No"))</f>
        <v>No</v>
      </c>
    </row>
    <row r="48" spans="1:15" ht="19.5" customHeight="1" x14ac:dyDescent="0.25">
      <c r="A48" s="45"/>
      <c r="B48" s="46"/>
      <c r="C48" s="46"/>
      <c r="D48" s="46"/>
      <c r="E48" s="45"/>
      <c r="F48" s="45"/>
      <c r="G48" s="45"/>
      <c r="H48" s="45"/>
      <c r="I48" s="45"/>
      <c r="J48" s="45"/>
      <c r="K48" s="45"/>
      <c r="L48" s="45"/>
    </row>
    <row r="49" spans="1:12" ht="18" customHeight="1" x14ac:dyDescent="0.25">
      <c r="A49" s="2107" t="s">
        <v>5</v>
      </c>
      <c r="B49" s="2107"/>
      <c r="C49" s="2107"/>
      <c r="D49" s="2107"/>
      <c r="E49" s="2107"/>
      <c r="F49" s="2107"/>
      <c r="G49" s="2107"/>
      <c r="H49" s="2107"/>
      <c r="I49" s="2107"/>
      <c r="J49" s="2107"/>
      <c r="K49" s="2107"/>
      <c r="L49" s="2107"/>
    </row>
    <row r="50" spans="1:12" ht="17.25" customHeight="1" x14ac:dyDescent="0.25">
      <c r="A50" s="45"/>
      <c r="B50" s="46"/>
      <c r="C50" s="46"/>
      <c r="D50" s="46"/>
      <c r="E50" s="46"/>
      <c r="F50" s="45"/>
      <c r="G50" s="45"/>
      <c r="H50" s="45"/>
      <c r="I50" s="45"/>
      <c r="J50" s="45"/>
      <c r="K50" s="45"/>
      <c r="L50" s="45"/>
    </row>
    <row r="51" spans="1:12" ht="18" customHeight="1" x14ac:dyDescent="0.25">
      <c r="A51" s="45"/>
      <c r="B51" s="107" t="s">
        <v>16</v>
      </c>
      <c r="C51" s="108">
        <f>IF(D41="Yes",1,0)</f>
        <v>0</v>
      </c>
      <c r="D51" s="46"/>
      <c r="E51" s="45"/>
      <c r="F51" s="45"/>
      <c r="G51" s="45"/>
      <c r="H51" s="45"/>
      <c r="I51" s="45"/>
      <c r="J51" s="45"/>
      <c r="K51" s="45"/>
      <c r="L51" s="45"/>
    </row>
    <row r="52" spans="1:12" ht="18" customHeight="1" x14ac:dyDescent="0.25">
      <c r="A52" s="45"/>
      <c r="B52" s="109" t="s">
        <v>133</v>
      </c>
      <c r="C52" s="8" t="str">
        <f>IF(AND(COUNTIF(M46:M47,"Yes")=2,C51&gt;0),"Yes","No")</f>
        <v>No</v>
      </c>
      <c r="D52" s="46"/>
      <c r="E52" s="46"/>
      <c r="F52" s="45"/>
      <c r="G52" s="45"/>
      <c r="H52" s="45"/>
      <c r="I52" s="45"/>
      <c r="J52" s="45"/>
      <c r="K52" s="45"/>
      <c r="L52" s="45"/>
    </row>
    <row r="53" spans="1:12" ht="18.75" customHeight="1" x14ac:dyDescent="0.25">
      <c r="A53" s="45"/>
      <c r="B53" s="46"/>
      <c r="C53" s="46"/>
      <c r="D53" s="46"/>
      <c r="E53" s="46"/>
      <c r="F53" s="45"/>
      <c r="G53" s="45"/>
      <c r="H53" s="45"/>
      <c r="I53" s="45"/>
      <c r="J53" s="45"/>
      <c r="K53" s="45"/>
      <c r="L53" s="45"/>
    </row>
    <row r="54" spans="1:12" hidden="1" x14ac:dyDescent="0.25">
      <c r="J54" s="45"/>
      <c r="K54" s="45"/>
      <c r="L54" s="45"/>
    </row>
    <row r="55" spans="1:12" hidden="1" x14ac:dyDescent="0.25">
      <c r="J55" s="45"/>
      <c r="K55" s="45"/>
      <c r="L55" s="45"/>
    </row>
    <row r="56" spans="1:12" hidden="1" x14ac:dyDescent="0.25">
      <c r="J56" s="45"/>
      <c r="K56" s="45"/>
      <c r="L56" s="45"/>
    </row>
    <row r="57" spans="1:12" hidden="1" x14ac:dyDescent="0.25"/>
    <row r="58" spans="1:12" hidden="1" x14ac:dyDescent="0.25"/>
    <row r="59" spans="1:12" hidden="1" x14ac:dyDescent="0.25"/>
    <row r="60" spans="1:12" hidden="1" x14ac:dyDescent="0.25"/>
    <row r="61" spans="1:12" hidden="1" x14ac:dyDescent="0.25"/>
    <row r="62" spans="1:12" hidden="1" x14ac:dyDescent="0.25"/>
    <row r="63" spans="1:12" hidden="1" x14ac:dyDescent="0.25"/>
    <row r="64" spans="1: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sheetData>
  <sheetProtection algorithmName="SHA-512" hashValue="8t+SXC9D84bmJQX+ekTp2zrSn5kgLemNJm+BwuP1CCP39XTge+DJ56VHKjI0XK78Oh6RwGFIRkHQOlxiEHFAlw==" saltValue="vE4lGyfJ+dt4G9HGpvuw4w==" spinCount="100000" sheet="1" objects="1" scenarios="1" formatRows="0"/>
  <mergeCells count="34">
    <mergeCell ref="B16:I16"/>
    <mergeCell ref="A43:L43"/>
    <mergeCell ref="A9:L9"/>
    <mergeCell ref="B46:F46"/>
    <mergeCell ref="A14:L14"/>
    <mergeCell ref="B39:C39"/>
    <mergeCell ref="B41:C41"/>
    <mergeCell ref="B45:F45"/>
    <mergeCell ref="H45:I45"/>
    <mergeCell ref="B19:I19"/>
    <mergeCell ref="H47:I47"/>
    <mergeCell ref="H46:I46"/>
    <mergeCell ref="B20:I20"/>
    <mergeCell ref="B21:I21"/>
    <mergeCell ref="B38:C38"/>
    <mergeCell ref="I32:J32"/>
    <mergeCell ref="I33:J35"/>
    <mergeCell ref="H33:H35"/>
    <mergeCell ref="A1:L1"/>
    <mergeCell ref="A49:L49"/>
    <mergeCell ref="H2:I4"/>
    <mergeCell ref="A5:L7"/>
    <mergeCell ref="B11:E11"/>
    <mergeCell ref="B12:E12"/>
    <mergeCell ref="I31:J31"/>
    <mergeCell ref="I25:J25"/>
    <mergeCell ref="I26:J26"/>
    <mergeCell ref="I27:J27"/>
    <mergeCell ref="G23:K24"/>
    <mergeCell ref="I28:J28"/>
    <mergeCell ref="I30:J30"/>
    <mergeCell ref="I29:J29"/>
    <mergeCell ref="B18:I18"/>
    <mergeCell ref="B47:F47"/>
  </mergeCells>
  <conditionalFormatting sqref="B46:B47">
    <cfRule type="expression" dxfId="191" priority="7">
      <formula>#REF!&lt;&gt;"Prescriptive Path"</formula>
    </cfRule>
  </conditionalFormatting>
  <conditionalFormatting sqref="G46:G47">
    <cfRule type="expression" dxfId="190" priority="3">
      <formula>$B46="/"</formula>
    </cfRule>
    <cfRule type="expression" dxfId="189" priority="4">
      <formula>$B46="No evidence required at this submission stage"</formula>
    </cfRule>
  </conditionalFormatting>
  <conditionalFormatting sqref="H46:I47">
    <cfRule type="expression" dxfId="188" priority="1">
      <formula>$B46="No evidence required at this submission stage"</formula>
    </cfRule>
    <cfRule type="expression" dxfId="187" priority="2">
      <formula>$B46="/"</formula>
    </cfRule>
  </conditionalFormatting>
  <dataValidations count="4">
    <dataValidation type="list" allowBlank="1" showInputMessage="1" showErrorMessage="1" sqref="G46:G47" xr:uid="{00000000-0002-0000-2200-000000000000}">
      <formula1>"Select,Submitted,Not submitted"</formula1>
    </dataValidation>
    <dataValidation allowBlank="1" showInputMessage="1" showErrorMessage="1" prompt="Width of the opening at the top of the pot" sqref="D25:D35 H25" xr:uid="{00000000-0002-0000-2200-000001000000}"/>
    <dataValidation allowBlank="1" showInputMessage="1" showErrorMessage="1" prompt="Enter the name of the plant" sqref="B26:B35" xr:uid="{00000000-0002-0000-2200-000002000000}"/>
    <dataValidation type="list" allowBlank="1" showInputMessage="1" showErrorMessage="1" sqref="F26:F35" xr:uid="{00000000-0002-0000-2200-000003000000}">
      <formula1>"Select,Yes,No"</formula1>
    </dataValidation>
  </dataValidations>
  <hyperlinks>
    <hyperlink ref="L3" location="'H&amp;C BPC'!B3" tooltip="H-BPC" display="H-BPC" xr:uid="{00000000-0004-0000-2200-000000000000}"/>
    <hyperlink ref="J4" location="'H-4 Green Cleaning'!B3" tooltip="H-4" display="H-4" xr:uid="{00000000-0004-0000-2200-000001000000}"/>
    <hyperlink ref="K2" location="'H-5 Daylighting'!B3" tooltip="H-5" display="H-5" xr:uid="{00000000-0004-0000-2200-000002000000}"/>
    <hyperlink ref="K3" location="'H-6 External Views'!B3" tooltip="H-6" display="H-6" xr:uid="{00000000-0004-0000-2200-000003000000}"/>
    <hyperlink ref="K4" location="'H-7 Thermal Comfort'!B3" tooltip="H-7" display="H-7" xr:uid="{00000000-0004-0000-2200-000004000000}"/>
    <hyperlink ref="J2" location="'H-1 Fresh Air Supply'!B3" tooltip="H-1" display="H-1" xr:uid="{00000000-0004-0000-2200-000005000000}"/>
    <hyperlink ref="J3" location="'H-2 Low-VOC Emissions '!B3" tooltip="H-2" display="H-2" xr:uid="{00000000-0004-0000-2200-000006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tabColor rgb="FF943634"/>
  </sheetPr>
  <dimension ref="A1:M90"/>
  <sheetViews>
    <sheetView showGridLines="0" showRowColHeaders="0" zoomScaleNormal="100" workbookViewId="0">
      <pane ySplit="8" topLeftCell="A9" activePane="bottomLeft" state="frozen"/>
      <selection pane="bottomLeft" activeCell="A14" sqref="A14:L14"/>
    </sheetView>
  </sheetViews>
  <sheetFormatPr defaultColWidth="0" defaultRowHeight="15" customHeight="1" zeroHeight="1" x14ac:dyDescent="0.25"/>
  <cols>
    <col min="1" max="1" width="5.7109375" style="35" customWidth="1"/>
    <col min="2" max="2" width="19.7109375" style="35" customWidth="1"/>
    <col min="3" max="3" width="19.85546875" style="35" customWidth="1"/>
    <col min="4" max="6" width="18.42578125" style="35" customWidth="1"/>
    <col min="7" max="7" width="22.5703125" style="35" customWidth="1"/>
    <col min="8" max="8" width="20.5703125" style="35" customWidth="1"/>
    <col min="9" max="9" width="11.85546875" style="35" customWidth="1"/>
    <col min="10" max="12" width="8.28515625" style="35" customWidth="1"/>
    <col min="13" max="16384" width="9.140625" style="35" hidden="1"/>
  </cols>
  <sheetData>
    <row r="1" spans="1:12" ht="25.5" customHeight="1" x14ac:dyDescent="0.25">
      <c r="A1" s="2110" t="s">
        <v>1688</v>
      </c>
      <c r="B1" s="2110"/>
      <c r="C1" s="2110"/>
      <c r="D1" s="2110"/>
      <c r="E1" s="2110"/>
      <c r="F1" s="2110"/>
      <c r="G1" s="2110"/>
      <c r="H1" s="2110"/>
      <c r="I1" s="2110"/>
      <c r="J1" s="2110"/>
      <c r="K1" s="2110"/>
      <c r="L1" s="2110"/>
    </row>
    <row r="2" spans="1:12" ht="15" customHeight="1" x14ac:dyDescent="0.25">
      <c r="A2" s="45"/>
      <c r="B2" s="46"/>
      <c r="C2" s="46"/>
      <c r="D2" s="46"/>
      <c r="E2" s="46"/>
      <c r="F2" s="45"/>
      <c r="G2" s="45"/>
      <c r="H2" s="1753" t="s">
        <v>1264</v>
      </c>
      <c r="I2" s="1753"/>
      <c r="J2" s="588" t="s">
        <v>26</v>
      </c>
      <c r="K2" s="588" t="s">
        <v>205</v>
      </c>
      <c r="L2" s="588"/>
    </row>
    <row r="3" spans="1:12" ht="15" customHeight="1" x14ac:dyDescent="0.25">
      <c r="A3" s="45"/>
      <c r="B3" s="46"/>
      <c r="C3" s="46"/>
      <c r="D3" s="46"/>
      <c r="E3" s="46"/>
      <c r="F3" s="45"/>
      <c r="G3" s="45"/>
      <c r="H3" s="1753"/>
      <c r="I3" s="1753"/>
      <c r="J3" s="588" t="s">
        <v>28</v>
      </c>
      <c r="K3" s="588" t="s">
        <v>255</v>
      </c>
      <c r="L3" s="588" t="s">
        <v>1686</v>
      </c>
    </row>
    <row r="4" spans="1:12" ht="15" customHeight="1" x14ac:dyDescent="0.25">
      <c r="A4" s="45"/>
      <c r="B4" s="46"/>
      <c r="C4" s="46"/>
      <c r="D4" s="46"/>
      <c r="E4" s="46"/>
      <c r="F4" s="45"/>
      <c r="G4" s="45"/>
      <c r="H4" s="1754"/>
      <c r="I4" s="1754"/>
      <c r="J4" s="588" t="s">
        <v>31</v>
      </c>
      <c r="K4" s="588" t="s">
        <v>256</v>
      </c>
      <c r="L4" s="588"/>
    </row>
    <row r="5" spans="1:12" ht="18" customHeight="1" x14ac:dyDescent="0.25">
      <c r="A5" s="1656" t="s">
        <v>2636</v>
      </c>
      <c r="B5" s="1657"/>
      <c r="C5" s="1657"/>
      <c r="D5" s="1657"/>
      <c r="E5" s="1657"/>
      <c r="F5" s="1657"/>
      <c r="G5" s="1657"/>
      <c r="H5" s="1657"/>
      <c r="I5" s="1657"/>
      <c r="J5" s="1657"/>
      <c r="K5" s="1657"/>
      <c r="L5" s="1657"/>
    </row>
    <row r="6" spans="1:12" ht="18" customHeight="1" x14ac:dyDescent="0.25">
      <c r="A6" s="1659"/>
      <c r="B6" s="1660"/>
      <c r="C6" s="1660"/>
      <c r="D6" s="1660"/>
      <c r="E6" s="1660"/>
      <c r="F6" s="1660"/>
      <c r="G6" s="1660"/>
      <c r="H6" s="1660"/>
      <c r="I6" s="1660"/>
      <c r="J6" s="1660"/>
      <c r="K6" s="1660"/>
      <c r="L6" s="1660"/>
    </row>
    <row r="7" spans="1:12" ht="18" customHeight="1" x14ac:dyDescent="0.25">
      <c r="A7" s="1662"/>
      <c r="B7" s="1663"/>
      <c r="C7" s="1663"/>
      <c r="D7" s="1663"/>
      <c r="E7" s="1663"/>
      <c r="F7" s="1663"/>
      <c r="G7" s="1663"/>
      <c r="H7" s="1663"/>
      <c r="I7" s="1663"/>
      <c r="J7" s="1663"/>
      <c r="K7" s="1663"/>
      <c r="L7" s="1663"/>
    </row>
    <row r="8" spans="1:12" ht="12" customHeight="1" x14ac:dyDescent="0.25">
      <c r="A8" s="45"/>
      <c r="B8" s="46"/>
      <c r="C8" s="46"/>
      <c r="D8" s="46"/>
      <c r="E8" s="46"/>
      <c r="F8" s="45"/>
      <c r="G8" s="45"/>
      <c r="H8" s="45"/>
      <c r="I8" s="45"/>
      <c r="J8" s="45"/>
      <c r="K8" s="45"/>
      <c r="L8" s="45"/>
    </row>
    <row r="9" spans="1:12" ht="18" customHeight="1" x14ac:dyDescent="0.25">
      <c r="A9" s="2107" t="s">
        <v>82</v>
      </c>
      <c r="B9" s="2107"/>
      <c r="C9" s="2107"/>
      <c r="D9" s="2107"/>
      <c r="E9" s="2107"/>
      <c r="F9" s="2107"/>
      <c r="G9" s="2107"/>
      <c r="H9" s="2107"/>
      <c r="I9" s="2107"/>
      <c r="J9" s="2107"/>
      <c r="K9" s="2107"/>
      <c r="L9" s="2107"/>
    </row>
    <row r="10" spans="1:12" x14ac:dyDescent="0.25">
      <c r="A10" s="45"/>
      <c r="B10" s="46"/>
      <c r="C10" s="46"/>
      <c r="D10" s="46"/>
      <c r="E10" s="46"/>
      <c r="F10" s="45"/>
      <c r="G10" s="45"/>
      <c r="H10" s="45"/>
      <c r="I10" s="45"/>
      <c r="J10" s="45"/>
      <c r="K10" s="45"/>
      <c r="L10" s="45"/>
    </row>
    <row r="11" spans="1:12" ht="21" customHeight="1" x14ac:dyDescent="0.25">
      <c r="A11" s="45"/>
      <c r="B11" s="2111" t="s">
        <v>83</v>
      </c>
      <c r="C11" s="2112"/>
      <c r="D11" s="2112"/>
      <c r="E11" s="2112"/>
      <c r="F11" s="541" t="s">
        <v>64</v>
      </c>
      <c r="G11" s="541" t="s">
        <v>16</v>
      </c>
      <c r="H11" s="47" t="s">
        <v>133</v>
      </c>
      <c r="I11" s="45"/>
      <c r="J11" s="45"/>
      <c r="K11" s="45"/>
      <c r="L11" s="45"/>
    </row>
    <row r="12" spans="1:12" ht="21" customHeight="1" x14ac:dyDescent="0.25">
      <c r="A12" s="45"/>
      <c r="B12" s="2113" t="s">
        <v>358</v>
      </c>
      <c r="C12" s="2114"/>
      <c r="D12" s="2114"/>
      <c r="E12" s="2115"/>
      <c r="F12" s="281">
        <v>1</v>
      </c>
      <c r="G12" s="281">
        <f>C49</f>
        <v>0</v>
      </c>
      <c r="H12" s="281" t="str">
        <f>C50</f>
        <v>No</v>
      </c>
      <c r="I12" s="45"/>
      <c r="J12" s="45"/>
      <c r="K12" s="45"/>
      <c r="L12" s="45"/>
    </row>
    <row r="13" spans="1:12" ht="16.5" customHeight="1" x14ac:dyDescent="0.25">
      <c r="A13" s="45"/>
      <c r="B13" s="46"/>
      <c r="C13" s="46"/>
      <c r="D13" s="46"/>
      <c r="E13" s="46"/>
      <c r="F13" s="45"/>
      <c r="G13" s="45"/>
      <c r="H13" s="45"/>
      <c r="I13" s="45"/>
      <c r="J13" s="45"/>
      <c r="K13" s="45"/>
      <c r="L13" s="45"/>
    </row>
    <row r="14" spans="1:12" ht="18" customHeight="1" x14ac:dyDescent="0.25">
      <c r="A14" s="2107" t="s">
        <v>102</v>
      </c>
      <c r="B14" s="2107"/>
      <c r="C14" s="2107"/>
      <c r="D14" s="2107"/>
      <c r="E14" s="2107"/>
      <c r="F14" s="2107"/>
      <c r="G14" s="2107"/>
      <c r="H14" s="2107"/>
      <c r="I14" s="2107"/>
      <c r="J14" s="2107"/>
      <c r="K14" s="2107"/>
      <c r="L14" s="2107"/>
    </row>
    <row r="15" spans="1:12" ht="12" customHeight="1" x14ac:dyDescent="0.25">
      <c r="A15" s="45"/>
      <c r="B15" s="46"/>
      <c r="C15" s="46"/>
      <c r="D15" s="46"/>
      <c r="E15" s="46"/>
      <c r="F15" s="45"/>
      <c r="G15" s="45"/>
      <c r="H15" s="45"/>
      <c r="I15" s="45"/>
      <c r="J15" s="45"/>
      <c r="K15" s="45"/>
      <c r="L15" s="45"/>
    </row>
    <row r="16" spans="1:12" x14ac:dyDescent="0.25">
      <c r="A16" s="45"/>
      <c r="B16" s="510" t="s">
        <v>732</v>
      </c>
      <c r="C16" s="46"/>
      <c r="D16" s="46"/>
      <c r="E16" s="46"/>
      <c r="F16" s="45"/>
      <c r="G16" s="45"/>
      <c r="H16" s="45"/>
      <c r="I16" s="45"/>
      <c r="J16" s="45"/>
      <c r="K16" s="45"/>
      <c r="L16" s="45"/>
    </row>
    <row r="17" spans="1:13" x14ac:dyDescent="0.25">
      <c r="A17" s="45"/>
      <c r="B17" s="46"/>
      <c r="C17" s="46"/>
      <c r="D17" s="46"/>
      <c r="E17" s="46"/>
      <c r="F17" s="45"/>
      <c r="G17" s="45"/>
      <c r="H17" s="45"/>
      <c r="I17" s="45"/>
      <c r="J17" s="45"/>
      <c r="K17" s="45"/>
      <c r="L17" s="45"/>
    </row>
    <row r="18" spans="1:13" ht="16.5" customHeight="1" x14ac:dyDescent="0.25">
      <c r="A18" s="45"/>
      <c r="B18" s="453" t="s">
        <v>571</v>
      </c>
      <c r="C18" s="474"/>
      <c r="D18" s="474"/>
      <c r="E18" s="474"/>
      <c r="F18" s="474"/>
      <c r="G18" s="474"/>
      <c r="H18" s="474"/>
      <c r="I18" s="474"/>
      <c r="J18" s="475"/>
      <c r="K18" s="45"/>
      <c r="L18" s="45"/>
    </row>
    <row r="19" spans="1:13" ht="16.5" customHeight="1" x14ac:dyDescent="0.25">
      <c r="A19" s="45"/>
      <c r="B19" s="1802" t="s">
        <v>1568</v>
      </c>
      <c r="C19" s="1803"/>
      <c r="D19" s="1803"/>
      <c r="E19" s="1803"/>
      <c r="F19" s="1803"/>
      <c r="G19" s="1803"/>
      <c r="H19" s="1803"/>
      <c r="I19" s="1803"/>
      <c r="J19" s="1804"/>
      <c r="K19" s="45"/>
      <c r="L19" s="45"/>
    </row>
    <row r="20" spans="1:13" x14ac:dyDescent="0.25">
      <c r="A20" s="45"/>
      <c r="B20" s="1857" t="s">
        <v>576</v>
      </c>
      <c r="C20" s="1858"/>
      <c r="D20" s="1858"/>
      <c r="E20" s="1858"/>
      <c r="F20" s="1858"/>
      <c r="G20" s="1858"/>
      <c r="H20" s="1858"/>
      <c r="I20" s="1858"/>
      <c r="J20" s="1859"/>
      <c r="K20" s="45"/>
      <c r="L20" s="45"/>
    </row>
    <row r="21" spans="1:13" x14ac:dyDescent="0.25">
      <c r="A21" s="45"/>
      <c r="B21" s="1857" t="s">
        <v>575</v>
      </c>
      <c r="C21" s="1858"/>
      <c r="D21" s="1858"/>
      <c r="E21" s="1858"/>
      <c r="F21" s="1858"/>
      <c r="G21" s="1858"/>
      <c r="H21" s="1858"/>
      <c r="I21" s="1858"/>
      <c r="J21" s="1859"/>
      <c r="K21" s="45"/>
      <c r="L21" s="45"/>
    </row>
    <row r="22" spans="1:13" x14ac:dyDescent="0.25">
      <c r="A22" s="45"/>
      <c r="B22" s="1857" t="s">
        <v>2149</v>
      </c>
      <c r="C22" s="1858"/>
      <c r="D22" s="1858"/>
      <c r="E22" s="1858"/>
      <c r="F22" s="1858"/>
      <c r="G22" s="1858"/>
      <c r="H22" s="1858"/>
      <c r="I22" s="1858"/>
      <c r="J22" s="1859"/>
      <c r="K22" s="45"/>
      <c r="L22" s="45"/>
    </row>
    <row r="23" spans="1:13" x14ac:dyDescent="0.25">
      <c r="A23" s="45"/>
      <c r="B23" s="1857" t="s">
        <v>574</v>
      </c>
      <c r="C23" s="1858"/>
      <c r="D23" s="1858"/>
      <c r="E23" s="1858"/>
      <c r="F23" s="1858"/>
      <c r="G23" s="1858"/>
      <c r="H23" s="1858"/>
      <c r="I23" s="1858"/>
      <c r="J23" s="1859"/>
      <c r="K23" s="45"/>
      <c r="L23" s="45"/>
    </row>
    <row r="24" spans="1:13" ht="15" customHeight="1" x14ac:dyDescent="0.25">
      <c r="A24" s="45"/>
      <c r="B24" s="1857" t="s">
        <v>572</v>
      </c>
      <c r="C24" s="1858"/>
      <c r="D24" s="1858"/>
      <c r="E24" s="1858"/>
      <c r="F24" s="1858"/>
      <c r="G24" s="1858"/>
      <c r="H24" s="1858"/>
      <c r="I24" s="1858"/>
      <c r="J24" s="1859"/>
      <c r="K24" s="45"/>
      <c r="L24" s="45"/>
    </row>
    <row r="25" spans="1:13" ht="30" customHeight="1" x14ac:dyDescent="0.25">
      <c r="A25" s="45"/>
      <c r="B25" s="2147" t="s">
        <v>1361</v>
      </c>
      <c r="C25" s="2148"/>
      <c r="D25" s="2148"/>
      <c r="E25" s="2148"/>
      <c r="F25" s="2148"/>
      <c r="G25" s="2148"/>
      <c r="H25" s="2148"/>
      <c r="I25" s="2148"/>
      <c r="J25" s="2149"/>
      <c r="K25" s="45"/>
      <c r="L25" s="45"/>
    </row>
    <row r="26" spans="1:13" x14ac:dyDescent="0.25">
      <c r="A26" s="45"/>
      <c r="B26" s="46"/>
      <c r="C26" s="46"/>
      <c r="D26" s="46"/>
      <c r="E26" s="46"/>
      <c r="F26" s="45"/>
      <c r="G26" s="45"/>
      <c r="H26" s="45"/>
      <c r="I26" s="45"/>
      <c r="J26" s="45"/>
      <c r="K26" s="45"/>
      <c r="L26" s="45"/>
    </row>
    <row r="27" spans="1:13" x14ac:dyDescent="0.25">
      <c r="A27" s="45"/>
      <c r="B27" s="535" t="s">
        <v>791</v>
      </c>
      <c r="C27" s="46"/>
      <c r="D27" s="46"/>
      <c r="E27" s="46"/>
      <c r="F27" s="45"/>
      <c r="G27" s="45"/>
      <c r="H27" s="45"/>
      <c r="I27" s="45"/>
      <c r="J27" s="45"/>
      <c r="K27" s="45"/>
      <c r="L27" s="45"/>
    </row>
    <row r="28" spans="1:13" ht="11.25" customHeight="1" x14ac:dyDescent="0.25">
      <c r="A28" s="45"/>
      <c r="B28" s="46"/>
      <c r="C28" s="46"/>
      <c r="D28" s="46"/>
      <c r="E28" s="46"/>
      <c r="F28" s="45"/>
      <c r="G28" s="45"/>
      <c r="H28" s="45"/>
      <c r="I28" s="45"/>
      <c r="J28" s="45"/>
      <c r="K28" s="45"/>
      <c r="L28" s="45"/>
    </row>
    <row r="29" spans="1:13" ht="19.5" customHeight="1" x14ac:dyDescent="0.25">
      <c r="A29" s="45"/>
      <c r="B29" s="238" t="s">
        <v>793</v>
      </c>
      <c r="C29" s="239" t="s">
        <v>573</v>
      </c>
      <c r="D29" s="2127" t="s">
        <v>792</v>
      </c>
      <c r="E29" s="2127"/>
      <c r="F29" s="2127" t="s">
        <v>12</v>
      </c>
      <c r="G29" s="2127"/>
      <c r="H29" s="45"/>
      <c r="I29" s="45"/>
      <c r="J29" s="45"/>
      <c r="K29" s="45"/>
      <c r="L29" s="45"/>
      <c r="M29" s="45"/>
    </row>
    <row r="30" spans="1:13" x14ac:dyDescent="0.25">
      <c r="A30" s="45"/>
      <c r="B30" s="717"/>
      <c r="C30" s="718" t="s">
        <v>53</v>
      </c>
      <c r="D30" s="1689" t="s">
        <v>53</v>
      </c>
      <c r="E30" s="1690"/>
      <c r="F30" s="1689"/>
      <c r="G30" s="1690"/>
      <c r="H30" s="45"/>
      <c r="I30" s="45"/>
      <c r="J30" s="45"/>
      <c r="K30" s="45"/>
      <c r="L30" s="45"/>
      <c r="M30" s="35" t="str">
        <f>IF(AND(C30&lt;&gt;"Select",C30&lt;&gt;""),IF(AND(D30&lt;&gt;"No",D30&lt;&gt;"Select"),"Yes","No"),"")</f>
        <v/>
      </c>
    </row>
    <row r="31" spans="1:13" x14ac:dyDescent="0.25">
      <c r="A31" s="45"/>
      <c r="B31" s="717"/>
      <c r="C31" s="718" t="s">
        <v>53</v>
      </c>
      <c r="D31" s="1689" t="s">
        <v>53</v>
      </c>
      <c r="E31" s="1690"/>
      <c r="F31" s="1689"/>
      <c r="G31" s="1690"/>
      <c r="H31" s="45"/>
      <c r="I31" s="45"/>
      <c r="J31" s="45"/>
      <c r="K31" s="45"/>
      <c r="L31" s="45"/>
      <c r="M31" s="35" t="str">
        <f>IF(AND(C31&lt;&gt;"Select",C31&lt;&gt;""),IF(AND(D31&lt;&gt;"No",D31&lt;&gt;"Select"),"Yes","No"),"")</f>
        <v/>
      </c>
    </row>
    <row r="32" spans="1:13" x14ac:dyDescent="0.25">
      <c r="A32" s="45"/>
      <c r="B32" s="717"/>
      <c r="C32" s="718" t="s">
        <v>53</v>
      </c>
      <c r="D32" s="1689" t="s">
        <v>53</v>
      </c>
      <c r="E32" s="1690"/>
      <c r="F32" s="1689"/>
      <c r="G32" s="1690"/>
      <c r="H32" s="45"/>
      <c r="I32" s="45"/>
      <c r="J32" s="45"/>
      <c r="K32" s="45"/>
      <c r="L32" s="45"/>
      <c r="M32" s="35" t="str">
        <f>IF(AND(C32&lt;&gt;"Select",C32&lt;&gt;""),IF(AND(D32&lt;&gt;"No",D32&lt;&gt;"Select"),"Yes","No"),"")</f>
        <v/>
      </c>
    </row>
    <row r="33" spans="1:13" x14ac:dyDescent="0.25">
      <c r="A33" s="45"/>
      <c r="B33" s="717"/>
      <c r="C33" s="718" t="s">
        <v>53</v>
      </c>
      <c r="D33" s="1689" t="s">
        <v>53</v>
      </c>
      <c r="E33" s="1690"/>
      <c r="F33" s="1689"/>
      <c r="G33" s="1690"/>
      <c r="H33" s="45"/>
      <c r="I33" s="45"/>
      <c r="J33" s="45"/>
      <c r="K33" s="45"/>
      <c r="L33" s="45"/>
      <c r="M33" s="35" t="str">
        <f>IF(AND(C33&lt;&gt;"Select",C33&lt;&gt;""),IF(AND(D33&lt;&gt;"No",D33&lt;&gt;"Select"),"Yes","No"),"")</f>
        <v/>
      </c>
    </row>
    <row r="34" spans="1:13" x14ac:dyDescent="0.25">
      <c r="A34" s="45"/>
      <c r="B34" s="717"/>
      <c r="C34" s="718" t="s">
        <v>53</v>
      </c>
      <c r="D34" s="1689" t="s">
        <v>53</v>
      </c>
      <c r="E34" s="1690"/>
      <c r="F34" s="1689"/>
      <c r="G34" s="1690"/>
      <c r="H34" s="45"/>
      <c r="I34" s="45"/>
      <c r="J34" s="45"/>
      <c r="K34" s="45"/>
      <c r="L34" s="45"/>
      <c r="M34" s="35" t="str">
        <f>IF(AND(C34&lt;&gt;"Select",C34&lt;&gt;""),IF(AND(D34&lt;&gt;"No",D34&lt;&gt;"Select"),"Yes","No"),"")</f>
        <v/>
      </c>
    </row>
    <row r="35" spans="1:13" x14ac:dyDescent="0.25">
      <c r="A35" s="45"/>
      <c r="B35" s="46"/>
      <c r="C35" s="46"/>
      <c r="D35" s="46"/>
      <c r="E35" s="46"/>
      <c r="F35" s="45"/>
      <c r="G35" s="45"/>
      <c r="H35" s="45"/>
      <c r="I35" s="45"/>
      <c r="J35" s="45"/>
      <c r="K35" s="45"/>
      <c r="L35" s="45"/>
    </row>
    <row r="36" spans="1:13" x14ac:dyDescent="0.25">
      <c r="A36" s="45"/>
      <c r="B36" s="2150" t="s">
        <v>1239</v>
      </c>
      <c r="C36" s="2151"/>
      <c r="D36" s="2151"/>
      <c r="E36" s="2151"/>
      <c r="F36" s="2151"/>
      <c r="G36" s="2151"/>
      <c r="H36" s="45"/>
      <c r="I36" s="45"/>
      <c r="J36" s="45"/>
      <c r="K36" s="45"/>
      <c r="L36" s="45"/>
    </row>
    <row r="37" spans="1:13" ht="51" customHeight="1" x14ac:dyDescent="0.25">
      <c r="A37" s="45"/>
      <c r="B37" s="2152"/>
      <c r="C37" s="2153"/>
      <c r="D37" s="2153"/>
      <c r="E37" s="2153"/>
      <c r="F37" s="2153"/>
      <c r="G37" s="2154"/>
      <c r="H37" s="45"/>
      <c r="I37" s="45"/>
      <c r="J37" s="45"/>
      <c r="K37" s="45"/>
      <c r="L37" s="45"/>
    </row>
    <row r="38" spans="1:13" x14ac:dyDescent="0.25">
      <c r="A38" s="45"/>
      <c r="B38" s="46"/>
      <c r="C38" s="46"/>
      <c r="D38" s="46"/>
      <c r="E38" s="46"/>
      <c r="F38" s="45"/>
      <c r="G38" s="45"/>
      <c r="H38" s="45"/>
      <c r="I38" s="45"/>
      <c r="J38" s="45"/>
      <c r="K38" s="45"/>
      <c r="L38" s="45"/>
    </row>
    <row r="39" spans="1:13" ht="18" customHeight="1" x14ac:dyDescent="0.25">
      <c r="A39" s="45"/>
      <c r="B39" s="2108" t="s">
        <v>542</v>
      </c>
      <c r="C39" s="2108"/>
      <c r="D39" s="66" t="str">
        <f>IF(COUNTIF(M30:M34,"No")&gt;0,"No",IF(AND(B37&lt;&gt;"",COUNTIF(M30:M34,"Yes")&gt;0),"Yes","No"))</f>
        <v>No</v>
      </c>
      <c r="E39" s="45"/>
      <c r="F39" s="45"/>
      <c r="G39" s="45"/>
      <c r="H39" s="45"/>
      <c r="I39" s="45"/>
      <c r="J39" s="45"/>
      <c r="K39" s="45"/>
      <c r="L39" s="45"/>
    </row>
    <row r="40" spans="1:13" ht="20.25" customHeight="1" x14ac:dyDescent="0.25">
      <c r="A40" s="45"/>
      <c r="B40" s="46"/>
      <c r="C40" s="46"/>
      <c r="D40" s="46"/>
      <c r="E40" s="45"/>
      <c r="F40" s="45"/>
      <c r="G40" s="45"/>
      <c r="H40" s="45"/>
      <c r="I40" s="45"/>
      <c r="J40" s="45"/>
      <c r="K40" s="45"/>
      <c r="L40" s="45"/>
    </row>
    <row r="41" spans="1:13" ht="18" customHeight="1" x14ac:dyDescent="0.25">
      <c r="A41" s="2107" t="s">
        <v>84</v>
      </c>
      <c r="B41" s="2107"/>
      <c r="C41" s="2107"/>
      <c r="D41" s="2107"/>
      <c r="E41" s="2107"/>
      <c r="F41" s="2107"/>
      <c r="G41" s="2107"/>
      <c r="H41" s="2107"/>
      <c r="I41" s="2107"/>
      <c r="J41" s="2107"/>
      <c r="K41" s="2107"/>
      <c r="L41" s="2107"/>
    </row>
    <row r="42" spans="1:13" x14ac:dyDescent="0.25">
      <c r="A42" s="45"/>
      <c r="B42" s="46"/>
      <c r="C42" s="46"/>
      <c r="D42" s="46"/>
      <c r="E42" s="45"/>
      <c r="F42" s="45"/>
      <c r="G42" s="45"/>
      <c r="H42" s="45"/>
      <c r="I42" s="45"/>
      <c r="J42" s="45"/>
      <c r="K42" s="45"/>
      <c r="L42" s="45"/>
    </row>
    <row r="43" spans="1:13" ht="21" customHeight="1" x14ac:dyDescent="0.25">
      <c r="A43" s="45"/>
      <c r="B43" s="2104" t="s">
        <v>85</v>
      </c>
      <c r="C43" s="2105"/>
      <c r="D43" s="2105"/>
      <c r="E43" s="2105"/>
      <c r="F43" s="2105"/>
      <c r="G43" s="239" t="s">
        <v>907</v>
      </c>
      <c r="H43" s="2106" t="s">
        <v>908</v>
      </c>
      <c r="I43" s="2106"/>
      <c r="J43" s="45"/>
      <c r="K43" s="45"/>
      <c r="L43" s="45"/>
    </row>
    <row r="44" spans="1:13" ht="27" customHeight="1" x14ac:dyDescent="0.25">
      <c r="A44" s="45"/>
      <c r="B44" s="1648" t="str">
        <f>Submittals!G84</f>
        <v>• Manufacturer’s published data showing that the cleaning products are environmentally friendly</v>
      </c>
      <c r="C44" s="1649"/>
      <c r="D44" s="1649"/>
      <c r="E44" s="1649"/>
      <c r="F44" s="1649"/>
      <c r="G44" s="643" t="s">
        <v>53</v>
      </c>
      <c r="H44" s="1689"/>
      <c r="I44" s="1690"/>
      <c r="J44" s="45"/>
      <c r="K44" s="45"/>
      <c r="L44" s="45"/>
      <c r="M44" s="35" t="str">
        <f>IF(OR(B44="/",B44="No evidence required at this submission stage"),"Yes",IF(G44="Submitted","Yes","No"))</f>
        <v>No</v>
      </c>
    </row>
    <row r="45" spans="1:13" ht="30" customHeight="1" x14ac:dyDescent="0.25">
      <c r="A45" s="45"/>
      <c r="B45" s="1648" t="str">
        <f>Submittals!G85</f>
        <v>• Evidence showing that the cleaning products are used on the project such as invoices, receipts, purchase orders, etc.</v>
      </c>
      <c r="C45" s="1649"/>
      <c r="D45" s="1649"/>
      <c r="E45" s="1649"/>
      <c r="F45" s="1649"/>
      <c r="G45" s="643" t="s">
        <v>53</v>
      </c>
      <c r="H45" s="1689"/>
      <c r="I45" s="1690"/>
      <c r="J45" s="45"/>
      <c r="K45" s="45"/>
      <c r="L45" s="45"/>
      <c r="M45" s="35" t="str">
        <f>IF(OR(B45="/",B45="No evidence required at this submission stage"),"Yes",IF(G45="Submitted","Yes","No"))</f>
        <v>No</v>
      </c>
    </row>
    <row r="46" spans="1:13" ht="20.25" customHeight="1" x14ac:dyDescent="0.25">
      <c r="A46" s="45"/>
      <c r="B46" s="46"/>
      <c r="C46" s="46"/>
      <c r="D46" s="46"/>
      <c r="E46" s="45"/>
      <c r="F46" s="45"/>
      <c r="G46" s="45"/>
      <c r="H46" s="45"/>
      <c r="I46" s="45"/>
      <c r="J46" s="45"/>
      <c r="K46" s="45"/>
      <c r="L46" s="45"/>
    </row>
    <row r="47" spans="1:13" ht="18" customHeight="1" x14ac:dyDescent="0.25">
      <c r="A47" s="2107" t="s">
        <v>5</v>
      </c>
      <c r="B47" s="2107"/>
      <c r="C47" s="2107"/>
      <c r="D47" s="2107"/>
      <c r="E47" s="2107"/>
      <c r="F47" s="2107"/>
      <c r="G47" s="2107"/>
      <c r="H47" s="2107"/>
      <c r="I47" s="2107"/>
      <c r="J47" s="2107"/>
      <c r="K47" s="2107"/>
      <c r="L47" s="2107"/>
    </row>
    <row r="48" spans="1:13" ht="15.75" customHeight="1" x14ac:dyDescent="0.25">
      <c r="A48" s="45"/>
      <c r="B48" s="46"/>
      <c r="C48" s="46"/>
      <c r="D48" s="46"/>
      <c r="E48" s="46"/>
      <c r="F48" s="45"/>
      <c r="G48" s="45"/>
      <c r="H48" s="45"/>
      <c r="I48" s="45"/>
      <c r="J48" s="45"/>
      <c r="K48" s="45"/>
      <c r="L48" s="45"/>
    </row>
    <row r="49" spans="1:12" ht="18" customHeight="1" x14ac:dyDescent="0.25">
      <c r="A49" s="45"/>
      <c r="B49" s="107" t="s">
        <v>16</v>
      </c>
      <c r="C49" s="108">
        <f>IF(D39="Yes",1,0)</f>
        <v>0</v>
      </c>
      <c r="D49" s="46"/>
      <c r="E49" s="45"/>
      <c r="F49" s="45"/>
      <c r="G49" s="45"/>
      <c r="H49" s="45"/>
      <c r="I49" s="45"/>
      <c r="J49" s="45"/>
      <c r="K49" s="45"/>
      <c r="L49" s="45"/>
    </row>
    <row r="50" spans="1:12" ht="18" customHeight="1" x14ac:dyDescent="0.25">
      <c r="A50" s="45"/>
      <c r="B50" s="109" t="s">
        <v>133</v>
      </c>
      <c r="C50" s="8" t="str">
        <f>IF(AND(COUNTIF(M44:M45,"Yes")=2,C49&gt;0),"Yes","No")</f>
        <v>No</v>
      </c>
      <c r="D50" s="46"/>
      <c r="E50" s="46"/>
      <c r="F50" s="45"/>
      <c r="G50" s="45"/>
      <c r="H50" s="45"/>
      <c r="I50" s="45"/>
      <c r="J50" s="45"/>
      <c r="K50" s="45"/>
      <c r="L50" s="45"/>
    </row>
    <row r="51" spans="1:12" ht="19.5" customHeight="1" x14ac:dyDescent="0.25">
      <c r="A51" s="45"/>
      <c r="B51" s="46"/>
      <c r="C51" s="46"/>
      <c r="D51" s="46"/>
      <c r="E51" s="46"/>
      <c r="F51" s="45"/>
      <c r="G51" s="45"/>
      <c r="H51" s="45"/>
      <c r="I51" s="45"/>
      <c r="J51" s="45"/>
      <c r="K51" s="45"/>
      <c r="L51" s="45"/>
    </row>
    <row r="52" spans="1:12" hidden="1" x14ac:dyDescent="0.25">
      <c r="J52" s="45"/>
      <c r="K52" s="45"/>
      <c r="L52" s="45"/>
    </row>
    <row r="53" spans="1:12" hidden="1" x14ac:dyDescent="0.25">
      <c r="J53" s="45"/>
      <c r="K53" s="45"/>
      <c r="L53" s="45"/>
    </row>
    <row r="54" spans="1:12" hidden="1" x14ac:dyDescent="0.25">
      <c r="J54" s="45"/>
      <c r="K54" s="45"/>
      <c r="L54" s="45"/>
    </row>
    <row r="55" spans="1:12" hidden="1" x14ac:dyDescent="0.25"/>
    <row r="56" spans="1:12" hidden="1" x14ac:dyDescent="0.25"/>
    <row r="57" spans="1:12" hidden="1" x14ac:dyDescent="0.25"/>
    <row r="58" spans="1:12" hidden="1" x14ac:dyDescent="0.25"/>
    <row r="59" spans="1:12" hidden="1" x14ac:dyDescent="0.25"/>
    <row r="60" spans="1:12" hidden="1" x14ac:dyDescent="0.25"/>
    <row r="61" spans="1:12" hidden="1" x14ac:dyDescent="0.25"/>
    <row r="62" spans="1:12" hidden="1" x14ac:dyDescent="0.25"/>
    <row r="63" spans="1:12" hidden="1" x14ac:dyDescent="0.25"/>
    <row r="64" spans="1: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sheetData>
  <sheetProtection algorithmName="SHA-512" hashValue="JOcrrOWzWYNIfRvAZYhfkGF4YehCQxLZM1Gn4CYCT2OdKsaNPxAguFrJHDsrBZhihnn7vmjPCpgOV2MY9cu/9A==" saltValue="tw27TlDs+EkBYJsX+9j8vA==" spinCount="100000" sheet="1" objects="1" scenarios="1" formatRows="0"/>
  <dataConsolidate/>
  <mergeCells count="37">
    <mergeCell ref="D33:E33"/>
    <mergeCell ref="F33:G33"/>
    <mergeCell ref="B43:F43"/>
    <mergeCell ref="B36:G36"/>
    <mergeCell ref="B37:G37"/>
    <mergeCell ref="F34:G34"/>
    <mergeCell ref="B39:C39"/>
    <mergeCell ref="D34:E34"/>
    <mergeCell ref="D32:E32"/>
    <mergeCell ref="F32:G32"/>
    <mergeCell ref="D31:E31"/>
    <mergeCell ref="F29:G29"/>
    <mergeCell ref="F30:G30"/>
    <mergeCell ref="F31:G31"/>
    <mergeCell ref="D30:E30"/>
    <mergeCell ref="A1:L1"/>
    <mergeCell ref="A14:L14"/>
    <mergeCell ref="A9:L9"/>
    <mergeCell ref="B25:J25"/>
    <mergeCell ref="D29:E29"/>
    <mergeCell ref="B19:J19"/>
    <mergeCell ref="B20:J20"/>
    <mergeCell ref="B21:J21"/>
    <mergeCell ref="B23:J23"/>
    <mergeCell ref="H2:I4"/>
    <mergeCell ref="A5:L7"/>
    <mergeCell ref="B11:E11"/>
    <mergeCell ref="B12:E12"/>
    <mergeCell ref="B24:J24"/>
    <mergeCell ref="B22:J22"/>
    <mergeCell ref="H43:I43"/>
    <mergeCell ref="H44:I44"/>
    <mergeCell ref="H45:I45"/>
    <mergeCell ref="A47:L47"/>
    <mergeCell ref="A41:L41"/>
    <mergeCell ref="B44:F44"/>
    <mergeCell ref="B45:F45"/>
  </mergeCells>
  <conditionalFormatting sqref="B44:B45">
    <cfRule type="expression" dxfId="186" priority="7">
      <formula>#REF!&lt;&gt;"Prescriptive Path"</formula>
    </cfRule>
  </conditionalFormatting>
  <conditionalFormatting sqref="G44:G45">
    <cfRule type="expression" dxfId="185" priority="3">
      <formula>$B44="/"</formula>
    </cfRule>
    <cfRule type="expression" dxfId="184" priority="4">
      <formula>$B44="No evidence required at this submission stage"</formula>
    </cfRule>
  </conditionalFormatting>
  <conditionalFormatting sqref="H44:I45">
    <cfRule type="expression" dxfId="183" priority="1">
      <formula>$B44="No evidence required at this submission stage"</formula>
    </cfRule>
    <cfRule type="expression" dxfId="182" priority="2">
      <formula>$B44="/"</formula>
    </cfRule>
  </conditionalFormatting>
  <dataValidations count="3">
    <dataValidation type="list" allowBlank="1" showInputMessage="1" showErrorMessage="1" sqref="G44:G45" xr:uid="{00000000-0002-0000-2300-000000000000}">
      <formula1>"Select,Submitted,Not submitted"</formula1>
    </dataValidation>
    <dataValidation type="list" allowBlank="1" showInputMessage="1" showErrorMessage="1" sqref="C30:C34" xr:uid="{00000000-0002-0000-2300-000001000000}">
      <formula1>"Select,All-purpose cleaner, Floor cleaner, Surface cleaner"</formula1>
    </dataValidation>
    <dataValidation type="list" allowBlank="1" showInputMessage="1" showErrorMessage="1" sqref="D30:E34" xr:uid="{00000000-0002-0000-2300-000002000000}">
      <formula1>"Select,Natural product, Certified by Green Seal, Certified by SGLS, Certified by Safer Choice, Certified by EPD Hong Kong, Certified by another scheme, Compliant with Green Specifications,No"</formula1>
    </dataValidation>
  </dataValidations>
  <hyperlinks>
    <hyperlink ref="J2" location="'H-1 Fresh Air Supply'!B3" tooltip="H-1" display="H-1" xr:uid="{00000000-0004-0000-2300-000000000000}"/>
    <hyperlink ref="J4" location="'H-3 Interior Plants'!B3" tooltip="H-3" display="H-3" xr:uid="{00000000-0004-0000-2300-000001000000}"/>
    <hyperlink ref="J3" location="'H-2 Low-VOC Emissions '!B3" tooltip="H-2" display="H-2" xr:uid="{00000000-0004-0000-2300-000002000000}"/>
    <hyperlink ref="K2" location="'H-5 Daylighting'!B3" tooltip="H-5" display="H-5" xr:uid="{00000000-0004-0000-2300-000003000000}"/>
    <hyperlink ref="K3" location="'H-6 External Views'!B3" tooltip="H-6" display="H-6" xr:uid="{00000000-0004-0000-2300-000004000000}"/>
    <hyperlink ref="K4" location="'H-7 Thermal Comfort'!B3" tooltip="H-7" display="H-7" xr:uid="{00000000-0004-0000-2300-000005000000}"/>
    <hyperlink ref="L3" location="'H&amp;C BPC'!B3" tooltip="H-8" display="H-BPC" xr:uid="{00000000-0004-0000-2300-000006000000}"/>
  </hyperlink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43634"/>
  </sheetPr>
  <dimension ref="A1:AQ316"/>
  <sheetViews>
    <sheetView showRowColHeaders="0" workbookViewId="0">
      <pane ySplit="8" topLeftCell="A9" activePane="bottomLeft" state="frozen"/>
      <selection pane="bottomLeft" activeCell="A5" sqref="A5:S7"/>
    </sheetView>
  </sheetViews>
  <sheetFormatPr defaultColWidth="0" defaultRowHeight="15" customHeight="1" zeroHeight="1" x14ac:dyDescent="0.25"/>
  <cols>
    <col min="1" max="1" width="4.85546875" style="35" customWidth="1"/>
    <col min="2" max="2" width="19.42578125" style="35" customWidth="1"/>
    <col min="3" max="3" width="12.7109375" style="35" customWidth="1"/>
    <col min="4" max="5" width="13.7109375" style="35" customWidth="1"/>
    <col min="6" max="8" width="9.28515625" style="35" customWidth="1"/>
    <col min="9" max="9" width="11.7109375" style="35" customWidth="1"/>
    <col min="10" max="11" width="9.7109375" style="35" customWidth="1"/>
    <col min="12" max="13" width="8.7109375" style="35" customWidth="1"/>
    <col min="14" max="14" width="8.5703125" style="35" customWidth="1"/>
    <col min="15" max="15" width="5.5703125" style="35" customWidth="1"/>
    <col min="16" max="16" width="10.7109375" style="35" customWidth="1"/>
    <col min="17" max="18" width="10.28515625" style="35" customWidth="1"/>
    <col min="19" max="19" width="7.7109375" style="35" customWidth="1"/>
    <col min="20" max="23" width="9.140625" style="35" hidden="1" customWidth="1"/>
    <col min="24" max="43" width="0" style="35" hidden="1" customWidth="1"/>
    <col min="44" max="16384" width="9.140625" style="35" hidden="1"/>
  </cols>
  <sheetData>
    <row r="1" spans="1:20" ht="25.5" customHeight="1" x14ac:dyDescent="0.25">
      <c r="A1" s="2110" t="s">
        <v>1689</v>
      </c>
      <c r="B1" s="2110"/>
      <c r="C1" s="2110"/>
      <c r="D1" s="2110"/>
      <c r="E1" s="2110"/>
      <c r="F1" s="2110"/>
      <c r="G1" s="2110"/>
      <c r="H1" s="2110"/>
      <c r="I1" s="2110"/>
      <c r="J1" s="2110"/>
      <c r="K1" s="2110"/>
      <c r="L1" s="2110"/>
      <c r="M1" s="2110"/>
      <c r="N1" s="2110"/>
      <c r="O1" s="2110"/>
      <c r="P1" s="2110"/>
      <c r="Q1" s="2110"/>
      <c r="R1" s="2110"/>
      <c r="S1" s="2110"/>
    </row>
    <row r="2" spans="1:20" ht="15" customHeight="1" x14ac:dyDescent="0.25">
      <c r="A2" s="45"/>
      <c r="B2" s="46"/>
      <c r="C2" s="46"/>
      <c r="D2" s="46"/>
      <c r="E2" s="46"/>
      <c r="F2" s="45"/>
      <c r="G2" s="45"/>
      <c r="H2" s="45"/>
      <c r="I2" s="161"/>
      <c r="J2" s="161"/>
      <c r="K2" s="161"/>
      <c r="L2" s="1753" t="s">
        <v>1264</v>
      </c>
      <c r="M2" s="1753"/>
      <c r="N2" s="1753"/>
      <c r="O2" s="1753"/>
      <c r="P2" s="1753"/>
      <c r="Q2" s="588" t="s">
        <v>26</v>
      </c>
      <c r="R2" s="588" t="s">
        <v>33</v>
      </c>
      <c r="S2" s="588"/>
    </row>
    <row r="3" spans="1:20" ht="15" customHeight="1" x14ac:dyDescent="0.25">
      <c r="A3" s="45"/>
      <c r="B3" s="46"/>
      <c r="C3" s="46"/>
      <c r="D3" s="46"/>
      <c r="E3" s="46"/>
      <c r="F3" s="45"/>
      <c r="G3" s="45"/>
      <c r="H3" s="45"/>
      <c r="I3" s="161"/>
      <c r="J3" s="161"/>
      <c r="K3" s="161"/>
      <c r="L3" s="1753"/>
      <c r="M3" s="1753"/>
      <c r="N3" s="1753"/>
      <c r="O3" s="1753"/>
      <c r="P3" s="1753"/>
      <c r="Q3" s="588" t="s">
        <v>28</v>
      </c>
      <c r="R3" s="588" t="s">
        <v>255</v>
      </c>
      <c r="S3" s="588" t="s">
        <v>1686</v>
      </c>
    </row>
    <row r="4" spans="1:20" ht="15" customHeight="1" x14ac:dyDescent="0.25">
      <c r="A4" s="45"/>
      <c r="B4" s="46"/>
      <c r="C4" s="46"/>
      <c r="D4" s="46"/>
      <c r="E4" s="46"/>
      <c r="F4" s="45"/>
      <c r="G4" s="45"/>
      <c r="H4" s="45"/>
      <c r="I4" s="162"/>
      <c r="J4" s="162"/>
      <c r="K4" s="161"/>
      <c r="L4" s="1754"/>
      <c r="M4" s="1754"/>
      <c r="N4" s="1754"/>
      <c r="O4" s="1754"/>
      <c r="P4" s="1754"/>
      <c r="Q4" s="588" t="s">
        <v>31</v>
      </c>
      <c r="R4" s="588" t="s">
        <v>256</v>
      </c>
      <c r="S4" s="588"/>
    </row>
    <row r="5" spans="1:20" ht="21" customHeight="1" x14ac:dyDescent="0.25">
      <c r="A5" s="1656" t="s">
        <v>2637</v>
      </c>
      <c r="B5" s="1657"/>
      <c r="C5" s="1657"/>
      <c r="D5" s="1657"/>
      <c r="E5" s="1657"/>
      <c r="F5" s="1657"/>
      <c r="G5" s="1657"/>
      <c r="H5" s="1657"/>
      <c r="I5" s="1657"/>
      <c r="J5" s="1657"/>
      <c r="K5" s="1657"/>
      <c r="L5" s="1657"/>
      <c r="M5" s="1657"/>
      <c r="N5" s="1657"/>
      <c r="O5" s="1657"/>
      <c r="P5" s="1657"/>
      <c r="Q5" s="1657"/>
      <c r="R5" s="1657"/>
      <c r="S5" s="1657"/>
    </row>
    <row r="6" spans="1:20" ht="21" customHeight="1" x14ac:dyDescent="0.25">
      <c r="A6" s="1659"/>
      <c r="B6" s="1660"/>
      <c r="C6" s="1660"/>
      <c r="D6" s="1660"/>
      <c r="E6" s="1660"/>
      <c r="F6" s="1660"/>
      <c r="G6" s="1660"/>
      <c r="H6" s="1660"/>
      <c r="I6" s="1660"/>
      <c r="J6" s="1660"/>
      <c r="K6" s="1660"/>
      <c r="L6" s="1660"/>
      <c r="M6" s="1660"/>
      <c r="N6" s="1660"/>
      <c r="O6" s="1660"/>
      <c r="P6" s="1660"/>
      <c r="Q6" s="1660"/>
      <c r="R6" s="1660"/>
      <c r="S6" s="1660"/>
    </row>
    <row r="7" spans="1:20" ht="21" customHeight="1" x14ac:dyDescent="0.25">
      <c r="A7" s="1662"/>
      <c r="B7" s="1663"/>
      <c r="C7" s="1663"/>
      <c r="D7" s="1663"/>
      <c r="E7" s="1663"/>
      <c r="F7" s="1663"/>
      <c r="G7" s="1663"/>
      <c r="H7" s="1663"/>
      <c r="I7" s="1663"/>
      <c r="J7" s="1663"/>
      <c r="K7" s="1663"/>
      <c r="L7" s="1663"/>
      <c r="M7" s="1663"/>
      <c r="N7" s="1663"/>
      <c r="O7" s="1663"/>
      <c r="P7" s="1663"/>
      <c r="Q7" s="1663"/>
      <c r="R7" s="1663"/>
      <c r="S7" s="1663"/>
    </row>
    <row r="8" spans="1:20" ht="12" customHeight="1" x14ac:dyDescent="0.25">
      <c r="A8" s="45"/>
      <c r="B8" s="46"/>
      <c r="C8" s="46"/>
      <c r="D8" s="46"/>
      <c r="E8" s="46"/>
      <c r="F8" s="45"/>
      <c r="G8" s="45"/>
      <c r="H8" s="45"/>
      <c r="I8" s="45"/>
      <c r="J8" s="45"/>
      <c r="K8" s="45"/>
      <c r="L8" s="45"/>
      <c r="M8" s="45"/>
      <c r="N8" s="45"/>
      <c r="O8" s="45"/>
      <c r="P8" s="45"/>
      <c r="Q8" s="45"/>
      <c r="R8" s="45"/>
      <c r="S8" s="45"/>
    </row>
    <row r="9" spans="1:20" ht="18" customHeight="1" x14ac:dyDescent="0.25">
      <c r="A9" s="2107" t="s">
        <v>82</v>
      </c>
      <c r="B9" s="2107"/>
      <c r="C9" s="2107"/>
      <c r="D9" s="2107"/>
      <c r="E9" s="2107"/>
      <c r="F9" s="2107"/>
      <c r="G9" s="2107"/>
      <c r="H9" s="2107"/>
      <c r="I9" s="2107"/>
      <c r="J9" s="2107"/>
      <c r="K9" s="2107"/>
      <c r="L9" s="2107"/>
      <c r="M9" s="2107"/>
      <c r="N9" s="2107"/>
      <c r="O9" s="2107"/>
      <c r="P9" s="2107"/>
      <c r="Q9" s="2107"/>
      <c r="R9" s="2107"/>
      <c r="S9" s="2107"/>
    </row>
    <row r="10" spans="1:20" x14ac:dyDescent="0.25">
      <c r="A10" s="45"/>
      <c r="B10" s="46"/>
      <c r="C10" s="46"/>
      <c r="D10" s="46"/>
      <c r="E10" s="46"/>
      <c r="F10" s="45"/>
      <c r="G10" s="45"/>
      <c r="H10" s="45"/>
      <c r="I10" s="45"/>
      <c r="J10" s="45"/>
      <c r="K10" s="45"/>
      <c r="L10" s="45"/>
      <c r="M10" s="45"/>
      <c r="N10" s="45"/>
      <c r="O10" s="45"/>
      <c r="P10" s="45"/>
      <c r="Q10" s="45"/>
      <c r="R10" s="45"/>
      <c r="S10" s="45"/>
    </row>
    <row r="11" spans="1:20" ht="16.5" customHeight="1" x14ac:dyDescent="0.25">
      <c r="A11" s="45"/>
      <c r="B11" s="2192" t="s">
        <v>1525</v>
      </c>
      <c r="C11" s="2192"/>
      <c r="D11" s="2192"/>
      <c r="E11" s="1939" t="s">
        <v>53</v>
      </c>
      <c r="F11" s="1939"/>
      <c r="G11" s="45"/>
      <c r="H11" s="45"/>
      <c r="I11" s="45"/>
      <c r="J11" s="45"/>
      <c r="K11" s="45"/>
      <c r="L11" s="45"/>
      <c r="M11" s="45"/>
      <c r="N11" s="45"/>
      <c r="O11" s="45"/>
      <c r="P11" s="45"/>
      <c r="Q11" s="45"/>
      <c r="R11" s="45"/>
      <c r="S11" s="45"/>
      <c r="T11" s="45"/>
    </row>
    <row r="12" spans="1:20" x14ac:dyDescent="0.25">
      <c r="A12" s="45"/>
      <c r="B12" s="46"/>
      <c r="C12" s="46"/>
      <c r="D12" s="46"/>
      <c r="E12" s="46"/>
      <c r="F12" s="45"/>
      <c r="G12" s="45"/>
      <c r="H12" s="45"/>
      <c r="I12" s="45"/>
      <c r="J12" s="45"/>
      <c r="K12" s="45"/>
      <c r="L12" s="45"/>
      <c r="M12" s="45"/>
      <c r="N12" s="45"/>
      <c r="O12" s="45"/>
      <c r="P12" s="45"/>
      <c r="Q12" s="45"/>
      <c r="R12" s="45"/>
      <c r="S12" s="45"/>
      <c r="T12" s="45"/>
    </row>
    <row r="13" spans="1:20" ht="21" customHeight="1" x14ac:dyDescent="0.25">
      <c r="A13" s="45"/>
      <c r="B13" s="2178" t="s">
        <v>1804</v>
      </c>
      <c r="C13" s="2178"/>
      <c r="D13" s="2178"/>
      <c r="E13" s="2178"/>
      <c r="F13" s="2178"/>
      <c r="G13" s="2178"/>
      <c r="H13" s="2179"/>
      <c r="I13" s="2180" t="s">
        <v>64</v>
      </c>
      <c r="J13" s="2181"/>
      <c r="K13" s="2180" t="s">
        <v>16</v>
      </c>
      <c r="L13" s="2181"/>
      <c r="M13" s="2160" t="s">
        <v>133</v>
      </c>
      <c r="N13" s="2160"/>
      <c r="O13" s="2161"/>
      <c r="P13" s="45"/>
      <c r="Q13" s="45"/>
      <c r="R13" s="45"/>
      <c r="S13" s="45"/>
      <c r="T13" s="45"/>
    </row>
    <row r="14" spans="1:20" ht="31.5" customHeight="1" x14ac:dyDescent="0.25">
      <c r="A14" s="45"/>
      <c r="B14" s="2166" t="s">
        <v>1941</v>
      </c>
      <c r="C14" s="2166"/>
      <c r="D14" s="2166"/>
      <c r="E14" s="2166"/>
      <c r="F14" s="2166"/>
      <c r="G14" s="2166"/>
      <c r="H14" s="2166"/>
      <c r="I14" s="2165">
        <v>2</v>
      </c>
      <c r="J14" s="2165"/>
      <c r="K14" s="2165" t="str">
        <f>IF(E11="Prescriptive Path",C107,"/")</f>
        <v>/</v>
      </c>
      <c r="L14" s="2165"/>
      <c r="M14" s="2162" t="str">
        <f>IF(E11="Prescriptive Path",C108,"/")</f>
        <v>/</v>
      </c>
      <c r="N14" s="2163"/>
      <c r="O14" s="2164"/>
      <c r="P14" s="45"/>
      <c r="Q14" s="45"/>
      <c r="R14" s="45"/>
      <c r="S14" s="45"/>
      <c r="T14" s="45"/>
    </row>
    <row r="15" spans="1:20" x14ac:dyDescent="0.25">
      <c r="A15" s="45"/>
      <c r="B15" s="46"/>
      <c r="C15" s="46"/>
      <c r="D15" s="46"/>
      <c r="E15" s="46"/>
      <c r="F15" s="45"/>
      <c r="G15" s="45"/>
      <c r="H15" s="45"/>
      <c r="I15" s="45"/>
      <c r="J15" s="45"/>
      <c r="K15" s="45"/>
      <c r="L15" s="45"/>
      <c r="M15" s="45"/>
      <c r="N15" s="45"/>
      <c r="O15" s="45"/>
      <c r="P15" s="45"/>
      <c r="Q15" s="45"/>
      <c r="R15" s="45"/>
      <c r="S15" s="45"/>
      <c r="T15" s="45"/>
    </row>
    <row r="16" spans="1:20" ht="21" customHeight="1" x14ac:dyDescent="0.25">
      <c r="A16" s="45"/>
      <c r="B16" s="2178" t="s">
        <v>1805</v>
      </c>
      <c r="C16" s="2178"/>
      <c r="D16" s="2178"/>
      <c r="E16" s="2178"/>
      <c r="F16" s="2178"/>
      <c r="G16" s="2178"/>
      <c r="H16" s="2179"/>
      <c r="I16" s="2180" t="s">
        <v>64</v>
      </c>
      <c r="J16" s="2181"/>
      <c r="K16" s="2183" t="s">
        <v>16</v>
      </c>
      <c r="L16" s="2184"/>
      <c r="M16" s="2160" t="s">
        <v>133</v>
      </c>
      <c r="N16" s="2160"/>
      <c r="O16" s="2161"/>
      <c r="P16" s="264"/>
      <c r="Q16" s="45"/>
      <c r="R16" s="45"/>
      <c r="S16" s="45"/>
    </row>
    <row r="17" spans="1:20" ht="30" customHeight="1" x14ac:dyDescent="0.25">
      <c r="A17" s="45"/>
      <c r="B17" s="2166" t="s">
        <v>374</v>
      </c>
      <c r="C17" s="2166" t="s">
        <v>55</v>
      </c>
      <c r="D17" s="2166" t="s">
        <v>55</v>
      </c>
      <c r="E17" s="2166" t="s">
        <v>55</v>
      </c>
      <c r="F17" s="2166">
        <v>3</v>
      </c>
      <c r="G17" s="2166"/>
      <c r="H17" s="2166"/>
      <c r="I17" s="2165">
        <v>2</v>
      </c>
      <c r="J17" s="2165"/>
      <c r="K17" s="2165" t="str">
        <f>IF(E11="Performance Path",C160,"/")</f>
        <v>/</v>
      </c>
      <c r="L17" s="2165"/>
      <c r="M17" s="2162" t="str">
        <f>IF(E11="Performance Path",C161,"/")</f>
        <v>/</v>
      </c>
      <c r="N17" s="2163"/>
      <c r="O17" s="2164"/>
      <c r="P17" s="45"/>
      <c r="Q17" s="45"/>
      <c r="R17" s="45"/>
      <c r="S17" s="45"/>
    </row>
    <row r="18" spans="1:20" x14ac:dyDescent="0.25">
      <c r="A18" s="45"/>
      <c r="B18" s="46"/>
      <c r="C18" s="46"/>
      <c r="D18" s="46"/>
      <c r="E18" s="46"/>
      <c r="F18" s="45"/>
      <c r="G18" s="45"/>
      <c r="H18" s="45"/>
      <c r="I18" s="45"/>
      <c r="J18" s="45"/>
      <c r="K18" s="45"/>
      <c r="L18" s="45"/>
      <c r="M18" s="45"/>
      <c r="N18" s="45"/>
      <c r="O18" s="45"/>
      <c r="P18" s="45"/>
      <c r="Q18" s="45"/>
      <c r="R18" s="45"/>
      <c r="S18" s="45"/>
    </row>
    <row r="19" spans="1:20" ht="18" customHeight="1" x14ac:dyDescent="0.25">
      <c r="A19" s="2107" t="s">
        <v>2367</v>
      </c>
      <c r="B19" s="2107"/>
      <c r="C19" s="2107"/>
      <c r="D19" s="2107"/>
      <c r="E19" s="2107"/>
      <c r="F19" s="2107"/>
      <c r="G19" s="2107"/>
      <c r="H19" s="2107"/>
      <c r="I19" s="2107"/>
      <c r="J19" s="2107"/>
      <c r="K19" s="2107"/>
      <c r="L19" s="2107"/>
      <c r="M19" s="2107"/>
      <c r="N19" s="2107"/>
      <c r="O19" s="2107"/>
      <c r="P19" s="2107"/>
      <c r="Q19" s="2107"/>
      <c r="R19" s="2107"/>
      <c r="S19" s="1108"/>
      <c r="T19" s="1108"/>
    </row>
    <row r="20" spans="1:20" ht="13.5" customHeight="1" x14ac:dyDescent="0.25">
      <c r="A20" s="45"/>
      <c r="B20" s="46"/>
      <c r="C20" s="46"/>
      <c r="D20" s="46"/>
      <c r="E20" s="46"/>
      <c r="F20" s="45"/>
      <c r="G20" s="45"/>
      <c r="H20" s="45"/>
      <c r="I20" s="45"/>
      <c r="J20" s="45"/>
      <c r="K20" s="45"/>
      <c r="L20" s="45"/>
      <c r="M20" s="45"/>
      <c r="N20" s="45"/>
      <c r="O20" s="45"/>
      <c r="P20" s="45"/>
      <c r="Q20" s="45"/>
      <c r="R20" s="45"/>
      <c r="S20" s="45"/>
      <c r="T20" s="45"/>
    </row>
    <row r="21" spans="1:20" ht="31.5" customHeight="1" x14ac:dyDescent="0.25">
      <c r="A21" s="45"/>
      <c r="B21" s="2193" t="s">
        <v>2368</v>
      </c>
      <c r="C21" s="2193"/>
      <c r="D21" s="2193"/>
      <c r="E21" s="2193"/>
      <c r="F21" s="2193"/>
      <c r="G21" s="2193"/>
      <c r="H21" s="2193"/>
      <c r="I21" s="2193"/>
      <c r="J21" s="2193"/>
      <c r="K21" s="2193"/>
      <c r="L21" s="2193"/>
      <c r="M21" s="2193"/>
      <c r="N21" s="2193"/>
      <c r="O21" s="2193"/>
      <c r="P21" s="2193"/>
      <c r="Q21" s="46"/>
      <c r="R21" s="45"/>
      <c r="S21" s="45"/>
      <c r="T21" s="45"/>
    </row>
    <row r="22" spans="1:20" ht="14.25" customHeight="1" x14ac:dyDescent="0.25">
      <c r="A22" s="45"/>
      <c r="B22" s="46"/>
      <c r="C22" s="46"/>
      <c r="D22" s="46"/>
      <c r="E22" s="46"/>
      <c r="F22" s="45"/>
      <c r="G22" s="45"/>
      <c r="H22" s="45"/>
      <c r="I22" s="45"/>
      <c r="J22" s="45"/>
      <c r="K22" s="45"/>
      <c r="L22" s="45"/>
      <c r="M22" s="45"/>
      <c r="N22" s="45"/>
      <c r="O22" s="45"/>
      <c r="P22" s="45"/>
      <c r="Q22" s="45"/>
      <c r="R22" s="45"/>
      <c r="S22" s="45"/>
      <c r="T22" s="45"/>
    </row>
    <row r="23" spans="1:20" ht="18" customHeight="1" x14ac:dyDescent="0.25">
      <c r="A23" s="2107" t="s">
        <v>634</v>
      </c>
      <c r="B23" s="2107"/>
      <c r="C23" s="2107"/>
      <c r="D23" s="2107"/>
      <c r="E23" s="2107"/>
      <c r="F23" s="2107"/>
      <c r="G23" s="2107"/>
      <c r="H23" s="2107"/>
      <c r="I23" s="2107"/>
      <c r="J23" s="2107"/>
      <c r="K23" s="2107"/>
      <c r="L23" s="2107"/>
      <c r="M23" s="2107"/>
      <c r="N23" s="2107"/>
      <c r="O23" s="2107"/>
      <c r="P23" s="2107"/>
      <c r="Q23" s="2107"/>
      <c r="R23" s="2107"/>
      <c r="S23" s="1108"/>
      <c r="T23" s="1108"/>
    </row>
    <row r="24" spans="1:20" ht="16.5" customHeight="1" x14ac:dyDescent="0.25">
      <c r="A24" s="45"/>
      <c r="B24" s="46"/>
      <c r="C24" s="46"/>
      <c r="D24" s="46"/>
      <c r="E24" s="46"/>
      <c r="F24" s="45"/>
      <c r="G24" s="45"/>
      <c r="H24" s="45"/>
      <c r="I24" s="45"/>
      <c r="J24" s="45"/>
      <c r="K24" s="45"/>
      <c r="L24" s="45"/>
      <c r="M24" s="45"/>
      <c r="N24" s="45"/>
      <c r="O24" s="45"/>
      <c r="P24" s="45"/>
      <c r="Q24" s="45"/>
      <c r="R24" s="45"/>
      <c r="S24" s="45"/>
      <c r="T24" s="45"/>
    </row>
    <row r="25" spans="1:20" ht="15" customHeight="1" x14ac:dyDescent="0.25">
      <c r="A25" s="45"/>
      <c r="B25" s="1844" t="s">
        <v>381</v>
      </c>
      <c r="C25" s="1845"/>
      <c r="D25" s="1845"/>
      <c r="E25" s="1845"/>
      <c r="F25" s="1845"/>
      <c r="G25" s="1845"/>
      <c r="H25" s="1845"/>
      <c r="I25" s="1846"/>
      <c r="J25" s="45"/>
      <c r="K25" s="45"/>
      <c r="L25" s="45"/>
      <c r="M25" s="45"/>
      <c r="N25" s="45"/>
      <c r="O25" s="45"/>
      <c r="P25" s="45"/>
      <c r="Q25" s="45"/>
      <c r="R25" s="45"/>
      <c r="S25" s="45"/>
      <c r="T25" s="45"/>
    </row>
    <row r="26" spans="1:20" ht="15" customHeight="1" x14ac:dyDescent="0.25">
      <c r="A26" s="45"/>
      <c r="B26" s="1942" t="s">
        <v>1806</v>
      </c>
      <c r="C26" s="1943"/>
      <c r="D26" s="1943"/>
      <c r="E26" s="1943"/>
      <c r="F26" s="1943"/>
      <c r="G26" s="1943"/>
      <c r="H26" s="1943"/>
      <c r="I26" s="1944"/>
      <c r="J26" s="45"/>
      <c r="K26" s="45"/>
      <c r="L26" s="45"/>
      <c r="M26" s="45"/>
      <c r="N26" s="45"/>
      <c r="O26" s="45"/>
      <c r="P26" s="45"/>
      <c r="Q26" s="45"/>
      <c r="R26" s="45"/>
      <c r="S26" s="45"/>
      <c r="T26" s="45"/>
    </row>
    <row r="27" spans="1:20" ht="15" customHeight="1" x14ac:dyDescent="0.25">
      <c r="A27" s="45"/>
      <c r="B27" s="1942" t="s">
        <v>736</v>
      </c>
      <c r="C27" s="1943"/>
      <c r="D27" s="1943"/>
      <c r="E27" s="1943"/>
      <c r="F27" s="1943"/>
      <c r="G27" s="1943"/>
      <c r="H27" s="1943"/>
      <c r="I27" s="1944"/>
      <c r="J27" s="45"/>
      <c r="K27" s="45"/>
      <c r="L27" s="45"/>
      <c r="M27" s="45"/>
      <c r="N27" s="45"/>
      <c r="O27" s="45"/>
      <c r="P27" s="45"/>
      <c r="Q27" s="45"/>
      <c r="R27" s="45"/>
      <c r="S27" s="45"/>
      <c r="T27" s="45"/>
    </row>
    <row r="28" spans="1:20" ht="15" customHeight="1" x14ac:dyDescent="0.25">
      <c r="A28" s="45"/>
      <c r="B28" s="1945" t="s">
        <v>382</v>
      </c>
      <c r="C28" s="1946"/>
      <c r="D28" s="1946"/>
      <c r="E28" s="1946"/>
      <c r="F28" s="1946"/>
      <c r="G28" s="1946"/>
      <c r="H28" s="1946"/>
      <c r="I28" s="1947"/>
      <c r="J28" s="45"/>
      <c r="K28" s="45"/>
      <c r="L28" s="45"/>
      <c r="M28" s="45"/>
      <c r="N28" s="45"/>
      <c r="O28" s="45"/>
      <c r="P28" s="45"/>
      <c r="Q28" s="45"/>
      <c r="R28" s="45"/>
      <c r="S28" s="45"/>
      <c r="T28" s="45"/>
    </row>
    <row r="29" spans="1:20" ht="16.5" customHeight="1" x14ac:dyDescent="0.25">
      <c r="A29" s="45"/>
      <c r="B29" s="46"/>
      <c r="C29" s="46"/>
      <c r="D29" s="46"/>
      <c r="E29" s="46"/>
      <c r="F29" s="45"/>
      <c r="G29" s="45"/>
      <c r="H29" s="45"/>
      <c r="I29" s="45"/>
      <c r="J29" s="45"/>
      <c r="K29" s="45"/>
      <c r="L29" s="45"/>
      <c r="M29" s="45"/>
      <c r="N29" s="45"/>
      <c r="O29" s="45"/>
      <c r="P29" s="45"/>
      <c r="Q29" s="45"/>
      <c r="R29" s="45"/>
      <c r="S29" s="45"/>
      <c r="T29" s="45"/>
    </row>
    <row r="30" spans="1:20" ht="18" customHeight="1" x14ac:dyDescent="0.25">
      <c r="A30" s="2107" t="s">
        <v>1807</v>
      </c>
      <c r="B30" s="2107"/>
      <c r="C30" s="2107"/>
      <c r="D30" s="2107"/>
      <c r="E30" s="2107"/>
      <c r="F30" s="2107"/>
      <c r="G30" s="2107"/>
      <c r="H30" s="2107"/>
      <c r="I30" s="2107"/>
      <c r="J30" s="2107"/>
      <c r="K30" s="2107"/>
      <c r="L30" s="2107"/>
      <c r="M30" s="2107"/>
      <c r="N30" s="2107"/>
      <c r="O30" s="2107"/>
      <c r="P30" s="2107"/>
      <c r="Q30" s="2107"/>
      <c r="R30" s="2107"/>
      <c r="S30" s="2107"/>
      <c r="T30" s="1108"/>
    </row>
    <row r="31" spans="1:20" x14ac:dyDescent="0.25">
      <c r="A31" s="118"/>
      <c r="B31" s="118"/>
      <c r="C31" s="118"/>
      <c r="D31" s="118"/>
      <c r="E31" s="118"/>
      <c r="F31" s="114"/>
      <c r="G31" s="114"/>
      <c r="H31" s="114"/>
      <c r="I31" s="114"/>
      <c r="J31" s="114"/>
      <c r="K31" s="114"/>
      <c r="L31" s="114"/>
      <c r="M31" s="114"/>
      <c r="N31" s="114"/>
      <c r="O31" s="114"/>
      <c r="P31" s="114"/>
      <c r="Q31" s="114"/>
      <c r="R31" s="114"/>
      <c r="S31" s="114"/>
      <c r="T31" s="114"/>
    </row>
    <row r="32" spans="1:20" ht="16.5" customHeight="1" x14ac:dyDescent="0.25">
      <c r="A32" s="2117" t="s">
        <v>102</v>
      </c>
      <c r="B32" s="2117"/>
      <c r="C32" s="2117"/>
      <c r="D32" s="118"/>
      <c r="E32" s="118"/>
      <c r="F32" s="118"/>
      <c r="G32" s="118"/>
      <c r="H32" s="118"/>
      <c r="I32" s="118"/>
      <c r="J32" s="118"/>
      <c r="K32" s="118"/>
      <c r="L32" s="114"/>
      <c r="M32" s="114"/>
      <c r="N32" s="114"/>
      <c r="O32" s="114"/>
      <c r="P32" s="114"/>
      <c r="Q32" s="114"/>
      <c r="R32" s="114"/>
      <c r="S32" s="114"/>
      <c r="T32" s="114"/>
    </row>
    <row r="33" spans="1:20" x14ac:dyDescent="0.25">
      <c r="A33" s="118"/>
      <c r="B33" s="118"/>
      <c r="C33" s="118"/>
      <c r="D33" s="118"/>
      <c r="E33" s="118"/>
      <c r="F33" s="118"/>
      <c r="G33" s="118"/>
      <c r="H33" s="118"/>
      <c r="I33" s="118"/>
      <c r="J33" s="118"/>
      <c r="K33" s="118"/>
      <c r="L33" s="114"/>
      <c r="M33" s="114"/>
      <c r="N33" s="114"/>
      <c r="O33" s="114"/>
      <c r="P33" s="114"/>
      <c r="Q33" s="114"/>
      <c r="R33" s="114"/>
      <c r="S33" s="114"/>
      <c r="T33" s="114"/>
    </row>
    <row r="34" spans="1:20" x14ac:dyDescent="0.25">
      <c r="A34" s="118"/>
      <c r="B34" s="1109" t="s">
        <v>1823</v>
      </c>
      <c r="C34" s="118"/>
      <c r="D34" s="118"/>
      <c r="E34" s="118"/>
      <c r="F34" s="118"/>
      <c r="G34" s="118"/>
      <c r="H34" s="118"/>
      <c r="I34" s="118"/>
      <c r="J34" s="118"/>
      <c r="K34" s="118"/>
      <c r="L34" s="114"/>
      <c r="M34" s="114"/>
      <c r="N34" s="114"/>
      <c r="O34" s="114"/>
      <c r="P34" s="114"/>
      <c r="Q34" s="114"/>
      <c r="R34" s="114"/>
      <c r="S34" s="114"/>
      <c r="T34" s="114"/>
    </row>
    <row r="35" spans="1:20" ht="18" customHeight="1" x14ac:dyDescent="0.25">
      <c r="A35" s="118"/>
      <c r="B35" s="118"/>
      <c r="C35" s="118"/>
      <c r="D35" s="118"/>
      <c r="E35" s="118"/>
      <c r="F35" s="118"/>
      <c r="G35" s="118"/>
      <c r="H35" s="118"/>
      <c r="I35" s="118"/>
      <c r="J35" s="118"/>
      <c r="K35" s="118"/>
      <c r="L35" s="114"/>
      <c r="M35" s="114"/>
      <c r="N35" s="114"/>
      <c r="O35" s="114"/>
      <c r="P35" s="114"/>
      <c r="Q35" s="114"/>
      <c r="R35" s="114"/>
      <c r="S35" s="114"/>
      <c r="T35" s="114"/>
    </row>
    <row r="36" spans="1:20" x14ac:dyDescent="0.25">
      <c r="A36" s="118"/>
      <c r="B36" s="1110" t="s">
        <v>1808</v>
      </c>
      <c r="C36" s="118"/>
      <c r="D36" s="118"/>
      <c r="E36" s="118"/>
      <c r="F36" s="118"/>
      <c r="G36" s="118"/>
      <c r="H36" s="118"/>
      <c r="I36" s="118"/>
      <c r="J36" s="118"/>
      <c r="K36" s="118"/>
      <c r="L36" s="114"/>
      <c r="M36" s="114"/>
      <c r="N36" s="114"/>
      <c r="O36" s="114"/>
      <c r="P36" s="114"/>
      <c r="Q36" s="114"/>
      <c r="R36" s="114"/>
      <c r="S36" s="114"/>
      <c r="T36" s="114"/>
    </row>
    <row r="37" spans="1:20" x14ac:dyDescent="0.25">
      <c r="A37" s="118"/>
      <c r="B37" s="118"/>
      <c r="C37" s="118"/>
      <c r="D37" s="118"/>
      <c r="E37" s="118"/>
      <c r="F37" s="118"/>
      <c r="G37" s="118"/>
      <c r="H37" s="118"/>
      <c r="I37" s="1111"/>
      <c r="J37" s="1111"/>
      <c r="K37" s="1111"/>
      <c r="L37" s="1111"/>
      <c r="M37" s="1111"/>
      <c r="N37" s="1111"/>
      <c r="O37" s="1111"/>
      <c r="P37" s="114"/>
      <c r="Q37" s="114"/>
      <c r="R37" s="114"/>
      <c r="S37" s="114"/>
      <c r="T37" s="114"/>
    </row>
    <row r="38" spans="1:20" ht="13.5" customHeight="1" x14ac:dyDescent="0.25">
      <c r="A38" s="118"/>
      <c r="B38" s="2190" t="s">
        <v>1809</v>
      </c>
      <c r="C38" s="2190"/>
      <c r="D38" s="2190"/>
      <c r="E38" s="2190"/>
      <c r="F38" s="1112"/>
      <c r="G38" s="2199" t="s">
        <v>1810</v>
      </c>
      <c r="H38" s="2199"/>
      <c r="I38" s="2199"/>
      <c r="J38" s="2199"/>
      <c r="K38" s="2199"/>
      <c r="L38" s="2199"/>
      <c r="M38" s="2199"/>
      <c r="N38" s="2199"/>
      <c r="O38" s="2199"/>
      <c r="P38" s="2199"/>
      <c r="Q38" s="2199"/>
      <c r="R38" s="114"/>
      <c r="S38" s="114"/>
      <c r="T38" s="114"/>
    </row>
    <row r="39" spans="1:20" ht="13.5" customHeight="1" x14ac:dyDescent="0.25">
      <c r="A39" s="118"/>
      <c r="B39" s="2190"/>
      <c r="C39" s="2190"/>
      <c r="D39" s="2190"/>
      <c r="E39" s="2190"/>
      <c r="F39" s="1112"/>
      <c r="G39" s="2199"/>
      <c r="H39" s="2199"/>
      <c r="I39" s="2199"/>
      <c r="J39" s="2199"/>
      <c r="K39" s="2199"/>
      <c r="L39" s="2199"/>
      <c r="M39" s="2199"/>
      <c r="N39" s="2199"/>
      <c r="O39" s="2199"/>
      <c r="P39" s="2199"/>
      <c r="Q39" s="2199"/>
      <c r="R39" s="114"/>
      <c r="S39" s="114"/>
      <c r="T39" s="114"/>
    </row>
    <row r="40" spans="1:20" ht="13.5" customHeight="1" x14ac:dyDescent="0.25">
      <c r="A40" s="118"/>
      <c r="B40" s="2190"/>
      <c r="C40" s="2190"/>
      <c r="D40" s="2190"/>
      <c r="E40" s="2190"/>
      <c r="F40" s="1112"/>
      <c r="G40" s="2199"/>
      <c r="H40" s="2199"/>
      <c r="I40" s="2199"/>
      <c r="J40" s="2199"/>
      <c r="K40" s="2199"/>
      <c r="L40" s="2199"/>
      <c r="M40" s="2199"/>
      <c r="N40" s="2199"/>
      <c r="O40" s="2199"/>
      <c r="P40" s="2199"/>
      <c r="Q40" s="2199"/>
      <c r="R40" s="114"/>
      <c r="S40" s="114"/>
      <c r="T40" s="114"/>
    </row>
    <row r="41" spans="1:20" ht="15" customHeight="1" x14ac:dyDescent="0.25">
      <c r="A41" s="118"/>
      <c r="B41" s="2190"/>
      <c r="C41" s="2190"/>
      <c r="D41" s="2190"/>
      <c r="E41" s="2190"/>
      <c r="F41" s="1112"/>
      <c r="G41" s="2200" t="s">
        <v>1811</v>
      </c>
      <c r="H41" s="2200"/>
      <c r="I41" s="2200"/>
      <c r="J41" s="2200"/>
      <c r="K41" s="2200"/>
      <c r="L41" s="2200"/>
      <c r="M41" s="2200"/>
      <c r="N41" s="2200"/>
      <c r="O41" s="2200"/>
      <c r="P41" s="2200"/>
      <c r="Q41" s="2200"/>
      <c r="R41" s="114"/>
      <c r="S41" s="114"/>
      <c r="T41" s="114"/>
    </row>
    <row r="42" spans="1:20" x14ac:dyDescent="0.25">
      <c r="A42" s="118"/>
      <c r="B42" s="2190"/>
      <c r="C42" s="2190"/>
      <c r="D42" s="2190"/>
      <c r="E42" s="2190"/>
      <c r="F42" s="1112"/>
      <c r="G42" s="2200"/>
      <c r="H42" s="2200"/>
      <c r="I42" s="2200"/>
      <c r="J42" s="2200"/>
      <c r="K42" s="2200"/>
      <c r="L42" s="2200"/>
      <c r="M42" s="2200"/>
      <c r="N42" s="2200"/>
      <c r="O42" s="2200"/>
      <c r="P42" s="2200"/>
      <c r="Q42" s="2200"/>
      <c r="R42" s="114"/>
      <c r="S42" s="114"/>
      <c r="T42" s="114"/>
    </row>
    <row r="43" spans="1:20" ht="15" customHeight="1" x14ac:dyDescent="0.25">
      <c r="A43" s="118"/>
      <c r="B43" s="2190"/>
      <c r="C43" s="2190"/>
      <c r="D43" s="2190"/>
      <c r="E43" s="2190"/>
      <c r="F43" s="118"/>
      <c r="G43" s="2199" t="s">
        <v>1812</v>
      </c>
      <c r="H43" s="2199"/>
      <c r="I43" s="2199"/>
      <c r="J43" s="2199"/>
      <c r="K43" s="2199"/>
      <c r="L43" s="2199"/>
      <c r="M43" s="2199"/>
      <c r="N43" s="2199"/>
      <c r="O43" s="2199"/>
      <c r="P43" s="2199"/>
      <c r="Q43" s="2199"/>
      <c r="R43" s="114"/>
      <c r="S43" s="114"/>
      <c r="T43" s="114"/>
    </row>
    <row r="44" spans="1:20" x14ac:dyDescent="0.25">
      <c r="A44" s="118"/>
      <c r="B44" s="118"/>
      <c r="C44" s="118"/>
      <c r="D44" s="118"/>
      <c r="E44" s="118"/>
      <c r="F44" s="118"/>
      <c r="G44" s="2199"/>
      <c r="H44" s="2199"/>
      <c r="I44" s="2199"/>
      <c r="J44" s="2199"/>
      <c r="K44" s="2199"/>
      <c r="L44" s="2199"/>
      <c r="M44" s="2199"/>
      <c r="N44" s="2199"/>
      <c r="O44" s="2199"/>
      <c r="P44" s="2199"/>
      <c r="Q44" s="2199"/>
      <c r="R44" s="114"/>
      <c r="S44" s="114"/>
      <c r="T44" s="114"/>
    </row>
    <row r="45" spans="1:20" x14ac:dyDescent="0.25">
      <c r="A45" s="118"/>
      <c r="B45" s="118"/>
      <c r="C45" s="118"/>
      <c r="D45" s="118"/>
      <c r="E45" s="118"/>
      <c r="F45" s="118"/>
      <c r="G45" s="2199"/>
      <c r="H45" s="2199"/>
      <c r="I45" s="2199"/>
      <c r="J45" s="2199"/>
      <c r="K45" s="2199"/>
      <c r="L45" s="2199"/>
      <c r="M45" s="2199"/>
      <c r="N45" s="2199"/>
      <c r="O45" s="2199"/>
      <c r="P45" s="2199"/>
      <c r="Q45" s="2199"/>
      <c r="R45" s="114"/>
      <c r="S45" s="114"/>
      <c r="T45" s="114"/>
    </row>
    <row r="46" spans="1:20" x14ac:dyDescent="0.25">
      <c r="A46" s="118"/>
      <c r="B46" s="118"/>
      <c r="C46" s="118"/>
      <c r="D46" s="118"/>
      <c r="E46" s="118"/>
      <c r="F46" s="118"/>
      <c r="G46" s="2199"/>
      <c r="H46" s="2199"/>
      <c r="I46" s="2199"/>
      <c r="J46" s="2199"/>
      <c r="K46" s="2199"/>
      <c r="L46" s="2199"/>
      <c r="M46" s="2199"/>
      <c r="N46" s="2199"/>
      <c r="O46" s="2199"/>
      <c r="P46" s="2199"/>
      <c r="Q46" s="2199"/>
      <c r="R46" s="114"/>
      <c r="S46" s="114"/>
      <c r="T46" s="114"/>
    </row>
    <row r="47" spans="1:20" x14ac:dyDescent="0.25">
      <c r="A47" s="118"/>
      <c r="B47" s="118"/>
      <c r="C47" s="118"/>
      <c r="D47" s="118"/>
      <c r="E47" s="118"/>
      <c r="F47" s="118"/>
      <c r="G47" s="118"/>
      <c r="H47" s="1113"/>
      <c r="I47" s="1113"/>
      <c r="J47" s="1113"/>
      <c r="K47" s="1113"/>
      <c r="L47" s="1113"/>
      <c r="M47" s="114"/>
      <c r="N47" s="114"/>
      <c r="O47" s="114"/>
      <c r="P47" s="114"/>
      <c r="Q47" s="114"/>
      <c r="R47" s="114"/>
      <c r="S47" s="114"/>
      <c r="T47" s="114"/>
    </row>
    <row r="48" spans="1:20" x14ac:dyDescent="0.25">
      <c r="A48" s="118"/>
      <c r="B48" s="118"/>
      <c r="C48" s="118"/>
      <c r="D48" s="118"/>
      <c r="E48" s="118"/>
      <c r="F48" s="118"/>
      <c r="G48" s="118"/>
      <c r="H48" s="1113"/>
      <c r="I48" s="1113"/>
      <c r="J48" s="1113"/>
      <c r="K48" s="1113"/>
      <c r="L48" s="1113"/>
      <c r="M48" s="114"/>
      <c r="N48" s="114"/>
      <c r="O48" s="114"/>
      <c r="P48" s="114"/>
      <c r="Q48" s="114"/>
      <c r="R48" s="114"/>
      <c r="S48" s="114"/>
      <c r="T48" s="114"/>
    </row>
    <row r="49" spans="1:20" x14ac:dyDescent="0.25">
      <c r="A49" s="118"/>
      <c r="B49" s="118"/>
      <c r="C49" s="118"/>
      <c r="D49" s="118"/>
      <c r="E49" s="118"/>
      <c r="F49" s="118"/>
      <c r="G49" s="118"/>
      <c r="H49" s="118"/>
      <c r="I49" s="118"/>
      <c r="J49" s="118"/>
      <c r="K49" s="118"/>
      <c r="L49" s="114"/>
      <c r="M49" s="114"/>
      <c r="N49" s="114"/>
      <c r="O49" s="114"/>
      <c r="P49" s="114"/>
      <c r="Q49" s="114"/>
      <c r="R49" s="114"/>
      <c r="S49" s="114"/>
      <c r="T49" s="114"/>
    </row>
    <row r="50" spans="1:20" ht="15" customHeight="1" x14ac:dyDescent="0.25">
      <c r="A50" s="118"/>
      <c r="B50" s="1114"/>
      <c r="C50" s="1114"/>
      <c r="D50" s="1114"/>
      <c r="E50" s="1114"/>
      <c r="F50" s="1114"/>
      <c r="G50" s="1111"/>
      <c r="H50" s="1111"/>
      <c r="I50" s="1111"/>
      <c r="J50" s="1111"/>
      <c r="K50" s="1111"/>
      <c r="L50" s="1111"/>
      <c r="M50" s="1111"/>
      <c r="N50" s="1111"/>
      <c r="O50" s="1111"/>
      <c r="P50" s="114"/>
      <c r="Q50" s="114"/>
      <c r="R50" s="114"/>
      <c r="S50" s="114"/>
      <c r="T50" s="114"/>
    </row>
    <row r="51" spans="1:20" x14ac:dyDescent="0.25">
      <c r="A51" s="118"/>
      <c r="B51" s="1114"/>
      <c r="C51" s="1114"/>
      <c r="D51" s="1114"/>
      <c r="E51" s="1114"/>
      <c r="F51" s="1114"/>
      <c r="G51" s="1111"/>
      <c r="H51" s="1111"/>
      <c r="I51" s="118"/>
      <c r="J51" s="118"/>
      <c r="K51" s="118"/>
      <c r="L51" s="114"/>
      <c r="M51" s="114"/>
      <c r="N51" s="114"/>
      <c r="O51" s="114"/>
      <c r="P51" s="114"/>
      <c r="Q51" s="114"/>
      <c r="R51" s="114"/>
      <c r="S51" s="114"/>
      <c r="T51" s="114"/>
    </row>
    <row r="52" spans="1:20" x14ac:dyDescent="0.25">
      <c r="A52" s="118"/>
      <c r="B52" s="1114"/>
      <c r="C52" s="1114"/>
      <c r="D52" s="1114"/>
      <c r="E52" s="1114"/>
      <c r="F52" s="1114"/>
      <c r="G52" s="1111"/>
      <c r="H52" s="1111"/>
      <c r="I52" s="118"/>
      <c r="J52" s="118"/>
      <c r="K52" s="118"/>
      <c r="L52" s="118"/>
      <c r="M52" s="118"/>
      <c r="N52" s="118"/>
      <c r="O52" s="118"/>
      <c r="P52" s="114"/>
      <c r="Q52" s="114"/>
      <c r="R52" s="114"/>
      <c r="S52" s="114"/>
      <c r="T52" s="114"/>
    </row>
    <row r="53" spans="1:20" x14ac:dyDescent="0.25">
      <c r="A53" s="118"/>
      <c r="B53" s="1114"/>
      <c r="C53" s="1114"/>
      <c r="D53" s="1114"/>
      <c r="E53" s="1114"/>
      <c r="F53" s="1114"/>
      <c r="G53" s="1111"/>
      <c r="H53" s="1111"/>
      <c r="I53" s="118"/>
      <c r="J53" s="118"/>
      <c r="K53" s="118"/>
      <c r="L53" s="118"/>
      <c r="M53" s="118"/>
      <c r="N53" s="118"/>
      <c r="O53" s="118"/>
      <c r="P53" s="114"/>
      <c r="Q53" s="114"/>
      <c r="R53" s="114"/>
      <c r="S53" s="114"/>
      <c r="T53" s="114"/>
    </row>
    <row r="54" spans="1:20" x14ac:dyDescent="0.25">
      <c r="A54" s="118"/>
      <c r="B54" s="1114"/>
      <c r="C54" s="1114"/>
      <c r="D54" s="1114"/>
      <c r="E54" s="1114"/>
      <c r="F54" s="1114"/>
      <c r="G54" s="1111"/>
      <c r="H54" s="1111"/>
      <c r="I54" s="118"/>
      <c r="J54" s="118"/>
      <c r="K54" s="118"/>
      <c r="L54" s="114"/>
      <c r="M54" s="114"/>
      <c r="N54" s="114"/>
      <c r="O54" s="114"/>
      <c r="P54" s="114"/>
      <c r="Q54" s="114"/>
      <c r="R54" s="114"/>
      <c r="S54" s="114"/>
      <c r="T54" s="114"/>
    </row>
    <row r="55" spans="1:20" x14ac:dyDescent="0.25">
      <c r="A55" s="118"/>
      <c r="B55" s="2191"/>
      <c r="C55" s="2191"/>
      <c r="D55" s="2191"/>
      <c r="E55" s="2191"/>
      <c r="F55" s="1114"/>
      <c r="G55" s="1111"/>
      <c r="H55" s="1111"/>
      <c r="I55" s="118"/>
      <c r="J55" s="118"/>
      <c r="K55" s="118"/>
      <c r="L55" s="114"/>
      <c r="M55" s="114"/>
      <c r="N55" s="114"/>
      <c r="O55" s="114"/>
      <c r="P55" s="114"/>
      <c r="Q55" s="114"/>
      <c r="R55" s="114"/>
      <c r="S55" s="114"/>
      <c r="T55" s="114"/>
    </row>
    <row r="56" spans="1:20" x14ac:dyDescent="0.25">
      <c r="A56" s="118"/>
      <c r="B56" s="1115"/>
      <c r="C56" s="1115"/>
      <c r="D56" s="1115"/>
      <c r="E56" s="1115"/>
      <c r="F56" s="1114"/>
      <c r="G56" s="1111"/>
      <c r="H56" s="1111"/>
      <c r="I56" s="118"/>
      <c r="J56" s="118"/>
      <c r="K56" s="118"/>
      <c r="L56" s="114"/>
      <c r="M56" s="114"/>
      <c r="N56" s="114"/>
      <c r="O56" s="114"/>
      <c r="P56" s="114"/>
      <c r="Q56" s="114"/>
      <c r="R56" s="114"/>
      <c r="S56" s="114"/>
      <c r="T56" s="114"/>
    </row>
    <row r="57" spans="1:20" x14ac:dyDescent="0.25">
      <c r="A57" s="118"/>
      <c r="B57" s="2191"/>
      <c r="C57" s="2191"/>
      <c r="D57" s="2191"/>
      <c r="E57" s="2191"/>
      <c r="F57" s="1114"/>
      <c r="G57" s="1111"/>
      <c r="H57" s="1111"/>
      <c r="I57" s="118"/>
      <c r="J57" s="118"/>
      <c r="K57" s="118"/>
      <c r="L57" s="114"/>
      <c r="M57" s="114"/>
      <c r="N57" s="114"/>
      <c r="O57" s="114"/>
      <c r="P57" s="114"/>
      <c r="Q57" s="114"/>
      <c r="R57" s="114"/>
      <c r="S57" s="114"/>
      <c r="T57" s="114"/>
    </row>
    <row r="58" spans="1:20" x14ac:dyDescent="0.25">
      <c r="A58" s="118"/>
      <c r="B58" s="2197" t="s">
        <v>1813</v>
      </c>
      <c r="C58" s="2197"/>
      <c r="D58" s="2197"/>
      <c r="E58" s="2197"/>
      <c r="F58" s="1114"/>
      <c r="G58" s="118"/>
      <c r="H58" s="118"/>
      <c r="I58" s="118"/>
      <c r="J58" s="118"/>
      <c r="K58" s="118"/>
      <c r="L58" s="114"/>
      <c r="M58" s="114"/>
      <c r="N58" s="114"/>
      <c r="O58" s="114"/>
      <c r="P58" s="114"/>
      <c r="Q58" s="114"/>
      <c r="R58" s="114"/>
      <c r="S58" s="114"/>
      <c r="T58" s="114"/>
    </row>
    <row r="59" spans="1:20" ht="50.1" customHeight="1" x14ac:dyDescent="0.25">
      <c r="A59" s="118"/>
      <c r="B59" s="1114"/>
      <c r="C59" s="1114"/>
      <c r="D59" s="1114"/>
      <c r="E59" s="1114"/>
      <c r="F59" s="1114"/>
      <c r="G59" s="1114"/>
      <c r="H59" s="1114"/>
      <c r="I59" s="118"/>
      <c r="J59" s="118"/>
      <c r="K59" s="118"/>
      <c r="L59" s="114"/>
      <c r="M59" s="114"/>
      <c r="N59" s="114"/>
      <c r="O59" s="114"/>
      <c r="P59" s="114"/>
      <c r="Q59" s="114"/>
      <c r="R59" s="114"/>
      <c r="S59" s="114"/>
      <c r="T59" s="114"/>
    </row>
    <row r="60" spans="1:20" ht="15" customHeight="1" x14ac:dyDescent="0.25">
      <c r="A60" s="118"/>
      <c r="B60" s="1113"/>
      <c r="C60" s="1113"/>
      <c r="D60" s="1113"/>
      <c r="E60" s="1113"/>
      <c r="F60" s="1113"/>
      <c r="G60" s="1113"/>
      <c r="H60" s="1113"/>
      <c r="I60" s="118"/>
      <c r="J60" s="118"/>
      <c r="K60" s="118"/>
      <c r="L60" s="114"/>
      <c r="M60" s="114"/>
      <c r="N60" s="114"/>
      <c r="O60" s="114"/>
      <c r="P60" s="114"/>
      <c r="Q60" s="114"/>
      <c r="R60" s="114"/>
      <c r="S60" s="114"/>
      <c r="T60" s="114"/>
    </row>
    <row r="61" spans="1:20" x14ac:dyDescent="0.25">
      <c r="A61" s="118"/>
      <c r="B61" s="1113"/>
      <c r="C61" s="1113"/>
      <c r="D61" s="1113"/>
      <c r="E61" s="1113"/>
      <c r="F61" s="1113"/>
      <c r="G61" s="1113"/>
      <c r="H61" s="1113"/>
      <c r="I61" s="118"/>
      <c r="J61" s="118"/>
      <c r="K61" s="118"/>
      <c r="L61" s="114"/>
      <c r="M61" s="114"/>
      <c r="N61" s="114"/>
      <c r="O61" s="114"/>
      <c r="P61" s="114"/>
      <c r="Q61" s="114"/>
      <c r="R61" s="114"/>
      <c r="S61" s="114"/>
      <c r="T61" s="114"/>
    </row>
    <row r="62" spans="1:20" x14ac:dyDescent="0.25">
      <c r="A62" s="118"/>
      <c r="B62" s="1113"/>
      <c r="C62" s="1113"/>
      <c r="D62" s="1113"/>
      <c r="E62" s="1113"/>
      <c r="F62" s="1113"/>
      <c r="G62" s="1113"/>
      <c r="H62" s="1113"/>
      <c r="I62" s="118"/>
      <c r="J62" s="118"/>
      <c r="K62" s="118"/>
      <c r="L62" s="114"/>
      <c r="M62" s="114"/>
      <c r="N62" s="114"/>
      <c r="O62" s="114"/>
      <c r="P62" s="114"/>
      <c r="Q62" s="114"/>
      <c r="R62" s="114"/>
      <c r="S62" s="114"/>
      <c r="T62" s="114"/>
    </row>
    <row r="63" spans="1:20" x14ac:dyDescent="0.25">
      <c r="A63" s="118"/>
      <c r="B63" s="1113"/>
      <c r="C63" s="1113"/>
      <c r="D63" s="1113"/>
      <c r="E63" s="1113"/>
      <c r="F63" s="1113"/>
      <c r="G63" s="1113"/>
      <c r="H63" s="1113"/>
      <c r="I63" s="118"/>
      <c r="J63" s="118"/>
      <c r="K63" s="118"/>
      <c r="L63" s="114"/>
      <c r="M63" s="114"/>
      <c r="N63" s="114"/>
      <c r="O63" s="114"/>
      <c r="P63" s="114"/>
      <c r="Q63" s="114"/>
      <c r="R63" s="114"/>
      <c r="S63" s="114"/>
      <c r="T63" s="114"/>
    </row>
    <row r="64" spans="1:20" x14ac:dyDescent="0.25">
      <c r="A64" s="118"/>
      <c r="B64" s="1113"/>
      <c r="C64" s="1113"/>
      <c r="D64" s="1113"/>
      <c r="E64" s="1113"/>
      <c r="F64" s="1113"/>
      <c r="G64" s="1113"/>
      <c r="H64" s="1113"/>
      <c r="I64" s="118"/>
      <c r="J64" s="118"/>
      <c r="K64" s="118"/>
      <c r="L64" s="114"/>
      <c r="M64" s="114"/>
      <c r="N64" s="114"/>
      <c r="O64" s="114"/>
      <c r="P64" s="114"/>
      <c r="Q64" s="114"/>
      <c r="R64" s="114"/>
      <c r="S64" s="114"/>
      <c r="T64" s="114"/>
    </row>
    <row r="65" spans="1:22" x14ac:dyDescent="0.25">
      <c r="A65" s="118"/>
      <c r="B65" s="1113"/>
      <c r="C65" s="1113"/>
      <c r="D65" s="1113"/>
      <c r="E65" s="1113"/>
      <c r="F65" s="1113"/>
      <c r="G65" s="1113"/>
      <c r="H65" s="1113"/>
      <c r="I65" s="118"/>
      <c r="J65" s="118"/>
      <c r="K65" s="118"/>
      <c r="L65" s="114"/>
      <c r="M65" s="114"/>
      <c r="N65" s="114"/>
      <c r="O65" s="114"/>
      <c r="P65" s="114"/>
      <c r="Q65" s="114"/>
      <c r="R65" s="114"/>
      <c r="S65" s="114"/>
      <c r="T65" s="114"/>
    </row>
    <row r="66" spans="1:22" ht="12" customHeight="1" x14ac:dyDescent="0.25">
      <c r="A66" s="118"/>
      <c r="B66" s="1113"/>
      <c r="C66" s="1113"/>
      <c r="D66" s="1113"/>
      <c r="E66" s="1113"/>
      <c r="F66" s="1113"/>
      <c r="G66" s="1113"/>
      <c r="H66" s="1113"/>
      <c r="I66" s="118"/>
      <c r="J66" s="118"/>
      <c r="K66" s="118"/>
      <c r="L66" s="114"/>
      <c r="M66" s="114"/>
      <c r="N66" s="114"/>
      <c r="O66" s="114"/>
      <c r="P66" s="114"/>
      <c r="Q66" s="114"/>
      <c r="R66" s="114"/>
      <c r="S66" s="114"/>
      <c r="T66" s="114"/>
    </row>
    <row r="67" spans="1:22" ht="15" customHeight="1" x14ac:dyDescent="0.25">
      <c r="A67" s="118"/>
      <c r="B67" s="1113"/>
      <c r="C67" s="1113"/>
      <c r="D67" s="1113"/>
      <c r="E67" s="1113"/>
      <c r="F67" s="1113"/>
      <c r="G67" s="2198" t="s">
        <v>1814</v>
      </c>
      <c r="H67" s="2198"/>
      <c r="I67" s="2198"/>
      <c r="J67" s="2198"/>
      <c r="K67" s="2198"/>
      <c r="L67" s="1116"/>
      <c r="M67" s="2198" t="s">
        <v>1815</v>
      </c>
      <c r="N67" s="2198"/>
      <c r="O67" s="2198"/>
      <c r="P67" s="2198"/>
      <c r="Q67" s="2198"/>
      <c r="R67" s="2198"/>
      <c r="S67" s="114"/>
      <c r="T67" s="114"/>
    </row>
    <row r="68" spans="1:22" ht="16.5" customHeight="1" x14ac:dyDescent="0.25">
      <c r="A68" s="118"/>
      <c r="B68" s="1111"/>
      <c r="C68" s="1111"/>
      <c r="D68" s="1111"/>
      <c r="E68" s="1111"/>
      <c r="F68" s="1117"/>
      <c r="G68" s="2198"/>
      <c r="H68" s="2198"/>
      <c r="I68" s="2198"/>
      <c r="J68" s="2198"/>
      <c r="K68" s="2198"/>
      <c r="L68" s="1116"/>
      <c r="M68" s="2198"/>
      <c r="N68" s="2198"/>
      <c r="O68" s="2198"/>
      <c r="P68" s="2198"/>
      <c r="Q68" s="2198"/>
      <c r="R68" s="2198"/>
      <c r="S68" s="114"/>
      <c r="T68" s="114"/>
    </row>
    <row r="69" spans="1:22" ht="16.5" customHeight="1" x14ac:dyDescent="0.25">
      <c r="A69" s="2117" t="s">
        <v>6</v>
      </c>
      <c r="B69" s="2117"/>
      <c r="C69" s="2117"/>
      <c r="D69" s="118"/>
      <c r="E69" s="118"/>
      <c r="F69" s="118"/>
      <c r="G69" s="118"/>
      <c r="H69" s="118"/>
      <c r="I69" s="118"/>
      <c r="J69" s="118"/>
      <c r="K69" s="118"/>
      <c r="L69" s="114"/>
      <c r="M69" s="114"/>
      <c r="N69" s="114"/>
      <c r="O69" s="114"/>
      <c r="P69" s="114"/>
      <c r="Q69" s="114"/>
      <c r="R69" s="114"/>
      <c r="S69" s="114"/>
      <c r="T69" s="114"/>
    </row>
    <row r="70" spans="1:22" x14ac:dyDescent="0.25">
      <c r="A70" s="118"/>
      <c r="B70" s="118"/>
      <c r="C70" s="118"/>
      <c r="D70" s="118"/>
      <c r="E70" s="118"/>
      <c r="F70" s="118"/>
      <c r="G70" s="118"/>
      <c r="H70" s="118"/>
      <c r="I70" s="118"/>
      <c r="J70" s="118"/>
      <c r="K70" s="118"/>
      <c r="L70" s="114"/>
      <c r="M70" s="114"/>
      <c r="N70" s="114"/>
      <c r="O70" s="114"/>
      <c r="P70" s="114"/>
      <c r="Q70" s="114"/>
      <c r="R70" s="114"/>
      <c r="S70" s="114"/>
      <c r="T70" s="114"/>
    </row>
    <row r="71" spans="1:22" ht="15" customHeight="1" x14ac:dyDescent="0.25">
      <c r="A71" s="118"/>
      <c r="B71" s="1118" t="s">
        <v>1676</v>
      </c>
      <c r="C71" s="1118"/>
      <c r="D71" s="1118"/>
      <c r="E71" s="1118"/>
      <c r="F71" s="1118"/>
      <c r="G71" s="1118"/>
      <c r="H71" s="118"/>
      <c r="I71" s="118"/>
      <c r="J71" s="118"/>
      <c r="K71" s="118"/>
      <c r="L71" s="114"/>
      <c r="M71" s="114"/>
      <c r="N71" s="114"/>
      <c r="O71" s="114"/>
      <c r="P71" s="114"/>
      <c r="Q71" s="114"/>
      <c r="R71" s="114"/>
      <c r="S71" s="114"/>
      <c r="T71" s="114"/>
    </row>
    <row r="72" spans="1:22" ht="11.25" customHeight="1" x14ac:dyDescent="0.25">
      <c r="A72" s="118"/>
      <c r="B72" s="118"/>
      <c r="C72" s="118"/>
      <c r="D72" s="118"/>
      <c r="E72" s="118"/>
      <c r="F72" s="118"/>
      <c r="G72" s="118"/>
      <c r="H72" s="118"/>
      <c r="I72" s="118"/>
      <c r="J72" s="118"/>
      <c r="K72" s="118"/>
      <c r="L72" s="114"/>
      <c r="M72" s="114"/>
      <c r="N72" s="114"/>
      <c r="O72" s="114"/>
      <c r="P72" s="114"/>
      <c r="Q72" s="114"/>
      <c r="R72" s="114"/>
      <c r="S72" s="114"/>
      <c r="T72" s="114"/>
    </row>
    <row r="73" spans="1:22" ht="18" customHeight="1" x14ac:dyDescent="0.25">
      <c r="A73" s="118"/>
      <c r="B73" s="819" t="s">
        <v>1816</v>
      </c>
      <c r="C73" s="118"/>
      <c r="D73" s="118"/>
      <c r="E73" s="118"/>
      <c r="F73" s="118"/>
      <c r="G73" s="118"/>
      <c r="H73" s="118"/>
      <c r="I73" s="118"/>
      <c r="J73" s="118"/>
      <c r="K73" s="118"/>
      <c r="L73" s="114"/>
      <c r="M73" s="114"/>
      <c r="N73" s="114"/>
      <c r="O73" s="114"/>
      <c r="P73" s="114"/>
      <c r="Q73" s="114"/>
      <c r="R73" s="114"/>
      <c r="S73" s="114"/>
      <c r="T73" s="114"/>
    </row>
    <row r="74" spans="1:22" ht="12" customHeight="1" x14ac:dyDescent="0.25">
      <c r="A74" s="118"/>
      <c r="B74" s="118"/>
      <c r="C74" s="118"/>
      <c r="D74" s="118"/>
      <c r="E74" s="118"/>
      <c r="F74" s="118"/>
      <c r="G74" s="118"/>
      <c r="H74" s="118"/>
      <c r="I74" s="118"/>
      <c r="J74" s="118"/>
      <c r="K74" s="118"/>
      <c r="L74" s="114"/>
      <c r="M74" s="114"/>
      <c r="N74" s="114"/>
      <c r="O74" s="114"/>
      <c r="P74" s="114"/>
      <c r="Q74" s="114"/>
      <c r="R74" s="114"/>
      <c r="S74" s="114"/>
      <c r="T74" s="114"/>
    </row>
    <row r="75" spans="1:22" ht="23.25" customHeight="1" x14ac:dyDescent="0.25">
      <c r="A75" s="1119"/>
      <c r="B75" s="1120" t="s">
        <v>1817</v>
      </c>
      <c r="C75" s="1121" t="s">
        <v>711</v>
      </c>
      <c r="D75" s="2194" t="s">
        <v>1818</v>
      </c>
      <c r="E75" s="2194"/>
      <c r="F75" s="2194" t="s">
        <v>1819</v>
      </c>
      <c r="G75" s="2194"/>
      <c r="H75" s="2194"/>
      <c r="I75" s="2194" t="s">
        <v>77</v>
      </c>
      <c r="J75" s="2195"/>
      <c r="K75" s="118"/>
      <c r="L75" s="118"/>
      <c r="M75" s="118"/>
      <c r="N75" s="114"/>
      <c r="O75" s="114"/>
      <c r="P75" s="114"/>
      <c r="Q75" s="114"/>
      <c r="R75" s="114"/>
      <c r="S75" s="114"/>
      <c r="T75" s="114"/>
      <c r="U75" s="114"/>
      <c r="V75" s="114"/>
    </row>
    <row r="76" spans="1:22" x14ac:dyDescent="0.25">
      <c r="A76" s="1119"/>
      <c r="B76" s="1067"/>
      <c r="C76" s="1068"/>
      <c r="D76" s="1640"/>
      <c r="E76" s="1640"/>
      <c r="F76" s="1640"/>
      <c r="G76" s="1640"/>
      <c r="H76" s="1640"/>
      <c r="I76" s="2196" t="str">
        <f>IF(C76="","",IF((D76+F76)&gt;=0.75*C76,"Yes","No"))</f>
        <v/>
      </c>
      <c r="J76" s="2196"/>
      <c r="K76" s="118"/>
      <c r="L76" s="118"/>
      <c r="M76" s="118"/>
      <c r="N76" s="114"/>
      <c r="O76" s="114"/>
      <c r="P76" s="114"/>
      <c r="Q76" s="114"/>
      <c r="R76" s="114"/>
      <c r="S76" s="114"/>
      <c r="T76" s="114"/>
      <c r="U76" s="114"/>
      <c r="V76" s="114"/>
    </row>
    <row r="77" spans="1:22" x14ac:dyDescent="0.25">
      <c r="A77" s="1119"/>
      <c r="B77" s="1067"/>
      <c r="C77" s="1068"/>
      <c r="D77" s="1640"/>
      <c r="E77" s="1640"/>
      <c r="F77" s="1640"/>
      <c r="G77" s="1640"/>
      <c r="H77" s="1640"/>
      <c r="I77" s="2196" t="str">
        <f t="shared" ref="I77:I95" si="0">IF(C77="","",IF((D77+F77)&gt;=0.75*C77,"Yes","No"))</f>
        <v/>
      </c>
      <c r="J77" s="2196"/>
      <c r="K77" s="118"/>
      <c r="L77" s="118"/>
      <c r="M77" s="118"/>
      <c r="N77" s="114"/>
      <c r="O77" s="114"/>
      <c r="P77" s="114"/>
      <c r="Q77" s="114"/>
      <c r="R77" s="114"/>
      <c r="S77" s="114"/>
      <c r="T77" s="114"/>
      <c r="U77" s="114"/>
      <c r="V77" s="114"/>
    </row>
    <row r="78" spans="1:22" x14ac:dyDescent="0.25">
      <c r="A78" s="118"/>
      <c r="B78" s="1067"/>
      <c r="C78" s="1068"/>
      <c r="D78" s="1640"/>
      <c r="E78" s="1640"/>
      <c r="F78" s="1640"/>
      <c r="G78" s="1640"/>
      <c r="H78" s="1640"/>
      <c r="I78" s="2196" t="str">
        <f t="shared" si="0"/>
        <v/>
      </c>
      <c r="J78" s="2196"/>
      <c r="K78" s="118"/>
      <c r="L78" s="118"/>
      <c r="M78" s="118"/>
      <c r="N78" s="114"/>
      <c r="O78" s="114"/>
      <c r="P78" s="114"/>
      <c r="Q78" s="114"/>
      <c r="R78" s="114"/>
      <c r="S78" s="114"/>
      <c r="T78" s="114"/>
      <c r="U78" s="114"/>
      <c r="V78" s="114"/>
    </row>
    <row r="79" spans="1:22" x14ac:dyDescent="0.25">
      <c r="A79" s="118"/>
      <c r="B79" s="1067"/>
      <c r="C79" s="1068"/>
      <c r="D79" s="1640"/>
      <c r="E79" s="1640"/>
      <c r="F79" s="1640"/>
      <c r="G79" s="1640"/>
      <c r="H79" s="1640"/>
      <c r="I79" s="2196" t="str">
        <f t="shared" si="0"/>
        <v/>
      </c>
      <c r="J79" s="2196"/>
      <c r="K79" s="118"/>
      <c r="L79" s="118"/>
      <c r="M79" s="118"/>
      <c r="N79" s="114"/>
      <c r="O79" s="114"/>
      <c r="P79" s="114"/>
      <c r="Q79" s="114"/>
      <c r="R79" s="114"/>
      <c r="S79" s="114"/>
      <c r="T79" s="114"/>
      <c r="U79" s="114"/>
      <c r="V79" s="114"/>
    </row>
    <row r="80" spans="1:22" x14ac:dyDescent="0.25">
      <c r="A80" s="118"/>
      <c r="B80" s="1067"/>
      <c r="C80" s="1068"/>
      <c r="D80" s="1640"/>
      <c r="E80" s="1640"/>
      <c r="F80" s="1640"/>
      <c r="G80" s="1640"/>
      <c r="H80" s="1640"/>
      <c r="I80" s="2196" t="str">
        <f t="shared" si="0"/>
        <v/>
      </c>
      <c r="J80" s="2196"/>
      <c r="K80" s="118"/>
      <c r="L80" s="118"/>
      <c r="M80" s="118"/>
      <c r="N80" s="114"/>
      <c r="O80" s="114"/>
      <c r="P80" s="114"/>
      <c r="Q80" s="114"/>
      <c r="R80" s="114"/>
      <c r="S80" s="114"/>
      <c r="T80" s="114"/>
      <c r="U80" s="114"/>
      <c r="V80" s="114"/>
    </row>
    <row r="81" spans="1:22" x14ac:dyDescent="0.25">
      <c r="A81" s="118"/>
      <c r="B81" s="1186"/>
      <c r="C81" s="1186"/>
      <c r="D81" s="1640"/>
      <c r="E81" s="1640"/>
      <c r="F81" s="1640"/>
      <c r="G81" s="1640"/>
      <c r="H81" s="1640"/>
      <c r="I81" s="2196" t="str">
        <f t="shared" ref="I81:I85" si="1">IF(C81="","",IF((D81+F81)&gt;=0.75*C81,"Yes","No"))</f>
        <v/>
      </c>
      <c r="J81" s="2196"/>
      <c r="K81" s="118"/>
      <c r="L81" s="118"/>
      <c r="M81" s="118"/>
      <c r="N81" s="114"/>
      <c r="O81" s="114"/>
      <c r="P81" s="114"/>
      <c r="Q81" s="114"/>
      <c r="R81" s="114"/>
      <c r="S81" s="114"/>
      <c r="T81" s="114"/>
      <c r="U81" s="114"/>
      <c r="V81" s="114"/>
    </row>
    <row r="82" spans="1:22" x14ac:dyDescent="0.25">
      <c r="A82" s="118"/>
      <c r="B82" s="1189"/>
      <c r="C82" s="1186"/>
      <c r="D82" s="1640"/>
      <c r="E82" s="1640"/>
      <c r="F82" s="1640"/>
      <c r="G82" s="1640"/>
      <c r="H82" s="1640"/>
      <c r="I82" s="2196" t="str">
        <f t="shared" si="1"/>
        <v/>
      </c>
      <c r="J82" s="2196"/>
      <c r="K82" s="118"/>
      <c r="L82" s="118"/>
      <c r="M82" s="118"/>
      <c r="N82" s="114"/>
      <c r="O82" s="114"/>
      <c r="P82" s="114"/>
      <c r="Q82" s="114"/>
      <c r="R82" s="114"/>
      <c r="S82" s="114"/>
      <c r="T82" s="114"/>
      <c r="U82" s="114"/>
      <c r="V82" s="114"/>
    </row>
    <row r="83" spans="1:22" x14ac:dyDescent="0.25">
      <c r="A83" s="118"/>
      <c r="B83" s="1189"/>
      <c r="C83" s="1186"/>
      <c r="D83" s="1640"/>
      <c r="E83" s="1640"/>
      <c r="F83" s="1640"/>
      <c r="G83" s="1640"/>
      <c r="H83" s="1640"/>
      <c r="I83" s="2196" t="str">
        <f t="shared" si="1"/>
        <v/>
      </c>
      <c r="J83" s="2196"/>
      <c r="K83" s="118"/>
      <c r="L83" s="118"/>
      <c r="M83" s="118"/>
      <c r="N83" s="114"/>
      <c r="O83" s="114"/>
      <c r="P83" s="114"/>
      <c r="Q83" s="114"/>
      <c r="R83" s="114"/>
      <c r="S83" s="114"/>
      <c r="T83" s="114"/>
      <c r="U83" s="114"/>
      <c r="V83" s="114"/>
    </row>
    <row r="84" spans="1:22" x14ac:dyDescent="0.25">
      <c r="A84" s="118"/>
      <c r="B84" s="1189"/>
      <c r="C84" s="1186"/>
      <c r="D84" s="1640"/>
      <c r="E84" s="1640"/>
      <c r="F84" s="1640"/>
      <c r="G84" s="1640"/>
      <c r="H84" s="1640"/>
      <c r="I84" s="2196" t="str">
        <f t="shared" si="1"/>
        <v/>
      </c>
      <c r="J84" s="2196"/>
      <c r="K84" s="118"/>
      <c r="L84" s="118"/>
      <c r="M84" s="118"/>
      <c r="N84" s="114"/>
      <c r="O84" s="114"/>
      <c r="P84" s="114"/>
      <c r="Q84" s="114"/>
      <c r="R84" s="114"/>
      <c r="S84" s="114"/>
      <c r="T84" s="114"/>
      <c r="U84" s="114"/>
      <c r="V84" s="114"/>
    </row>
    <row r="85" spans="1:22" x14ac:dyDescent="0.25">
      <c r="A85" s="118"/>
      <c r="B85" s="1189"/>
      <c r="C85" s="1186"/>
      <c r="D85" s="1640"/>
      <c r="E85" s="1640"/>
      <c r="F85" s="1640"/>
      <c r="G85" s="1640"/>
      <c r="H85" s="1640"/>
      <c r="I85" s="2196" t="str">
        <f t="shared" si="1"/>
        <v/>
      </c>
      <c r="J85" s="2196"/>
      <c r="K85" s="118"/>
      <c r="L85" s="118"/>
      <c r="M85" s="118"/>
      <c r="N85" s="114"/>
      <c r="O85" s="114"/>
      <c r="P85" s="114"/>
      <c r="Q85" s="114"/>
      <c r="R85" s="114"/>
      <c r="S85" s="114"/>
      <c r="T85" s="114"/>
      <c r="U85" s="114"/>
      <c r="V85" s="114"/>
    </row>
    <row r="86" spans="1:22" x14ac:dyDescent="0.25">
      <c r="A86" s="118"/>
      <c r="B86" s="1068"/>
      <c r="C86" s="1068"/>
      <c r="D86" s="1640"/>
      <c r="E86" s="1640"/>
      <c r="F86" s="1640"/>
      <c r="G86" s="1640"/>
      <c r="H86" s="1640"/>
      <c r="I86" s="2196" t="str">
        <f t="shared" si="0"/>
        <v/>
      </c>
      <c r="J86" s="2196"/>
      <c r="K86" s="118"/>
      <c r="L86" s="118"/>
      <c r="M86" s="118"/>
      <c r="N86" s="114"/>
      <c r="O86" s="114"/>
      <c r="P86" s="114"/>
      <c r="Q86" s="114"/>
      <c r="R86" s="114"/>
      <c r="S86" s="114"/>
      <c r="T86" s="114"/>
      <c r="U86" s="114"/>
      <c r="V86" s="114"/>
    </row>
    <row r="87" spans="1:22" x14ac:dyDescent="0.25">
      <c r="A87" s="118"/>
      <c r="B87" s="1067"/>
      <c r="C87" s="1068"/>
      <c r="D87" s="1640"/>
      <c r="E87" s="1640"/>
      <c r="F87" s="1640"/>
      <c r="G87" s="1640"/>
      <c r="H87" s="1640"/>
      <c r="I87" s="2196" t="str">
        <f t="shared" si="0"/>
        <v/>
      </c>
      <c r="J87" s="2196"/>
      <c r="K87" s="118"/>
      <c r="L87" s="118"/>
      <c r="M87" s="118"/>
      <c r="N87" s="114"/>
      <c r="O87" s="114"/>
      <c r="P87" s="114"/>
      <c r="Q87" s="114"/>
      <c r="R87" s="114"/>
      <c r="S87" s="114"/>
      <c r="T87" s="114"/>
      <c r="U87" s="114"/>
      <c r="V87" s="114"/>
    </row>
    <row r="88" spans="1:22" x14ac:dyDescent="0.25">
      <c r="A88" s="118"/>
      <c r="B88" s="1067"/>
      <c r="C88" s="1068"/>
      <c r="D88" s="1640"/>
      <c r="E88" s="1640"/>
      <c r="F88" s="1640"/>
      <c r="G88" s="1640"/>
      <c r="H88" s="1640"/>
      <c r="I88" s="2196" t="str">
        <f t="shared" si="0"/>
        <v/>
      </c>
      <c r="J88" s="2196"/>
      <c r="K88" s="118"/>
      <c r="L88" s="118"/>
      <c r="M88" s="118"/>
      <c r="N88" s="114"/>
      <c r="O88" s="114"/>
      <c r="P88" s="114"/>
      <c r="Q88" s="114"/>
      <c r="R88" s="114"/>
      <c r="S88" s="114"/>
      <c r="T88" s="114"/>
      <c r="U88" s="114"/>
      <c r="V88" s="114"/>
    </row>
    <row r="89" spans="1:22" x14ac:dyDescent="0.25">
      <c r="A89" s="118"/>
      <c r="B89" s="1067"/>
      <c r="C89" s="1068"/>
      <c r="D89" s="1640"/>
      <c r="E89" s="1640"/>
      <c r="F89" s="1640"/>
      <c r="G89" s="1640"/>
      <c r="H89" s="1640"/>
      <c r="I89" s="2196" t="str">
        <f t="shared" si="0"/>
        <v/>
      </c>
      <c r="J89" s="2196"/>
      <c r="K89" s="118"/>
      <c r="L89" s="118"/>
      <c r="M89" s="118"/>
      <c r="N89" s="114"/>
      <c r="O89" s="114"/>
      <c r="P89" s="114"/>
      <c r="Q89" s="114"/>
      <c r="R89" s="114"/>
      <c r="S89" s="114"/>
      <c r="T89" s="114"/>
      <c r="U89" s="114"/>
      <c r="V89" s="114"/>
    </row>
    <row r="90" spans="1:22" x14ac:dyDescent="0.25">
      <c r="A90" s="118"/>
      <c r="B90" s="1067"/>
      <c r="C90" s="1068"/>
      <c r="D90" s="1640"/>
      <c r="E90" s="1640"/>
      <c r="F90" s="1640"/>
      <c r="G90" s="1640"/>
      <c r="H90" s="1640"/>
      <c r="I90" s="2196" t="str">
        <f t="shared" si="0"/>
        <v/>
      </c>
      <c r="J90" s="2196"/>
      <c r="K90" s="118"/>
      <c r="L90" s="118"/>
      <c r="M90" s="118"/>
      <c r="N90" s="114"/>
      <c r="O90" s="114"/>
      <c r="P90" s="114"/>
      <c r="Q90" s="114"/>
      <c r="R90" s="114"/>
      <c r="S90" s="114"/>
      <c r="T90" s="114"/>
      <c r="U90" s="114"/>
      <c r="V90" s="114"/>
    </row>
    <row r="91" spans="1:22" x14ac:dyDescent="0.25">
      <c r="A91" s="118"/>
      <c r="B91" s="1067"/>
      <c r="C91" s="1068"/>
      <c r="D91" s="1640"/>
      <c r="E91" s="1640"/>
      <c r="F91" s="1640"/>
      <c r="G91" s="1640"/>
      <c r="H91" s="1640"/>
      <c r="I91" s="2196" t="str">
        <f t="shared" si="0"/>
        <v/>
      </c>
      <c r="J91" s="2196"/>
      <c r="K91" s="118"/>
      <c r="L91" s="118"/>
      <c r="M91" s="118"/>
      <c r="N91" s="114"/>
      <c r="O91" s="114"/>
      <c r="P91" s="114"/>
      <c r="Q91" s="114"/>
      <c r="R91" s="114"/>
      <c r="S91" s="114"/>
      <c r="T91" s="114"/>
      <c r="U91" s="114"/>
      <c r="V91" s="114"/>
    </row>
    <row r="92" spans="1:22" x14ac:dyDescent="0.25">
      <c r="A92" s="118"/>
      <c r="B92" s="1067"/>
      <c r="C92" s="1067"/>
      <c r="D92" s="1634"/>
      <c r="E92" s="1634"/>
      <c r="F92" s="1634"/>
      <c r="G92" s="1634"/>
      <c r="H92" s="1634"/>
      <c r="I92" s="2196" t="str">
        <f t="shared" si="0"/>
        <v/>
      </c>
      <c r="J92" s="2196"/>
      <c r="K92" s="118"/>
      <c r="L92" s="118"/>
      <c r="M92" s="118"/>
      <c r="N92" s="114"/>
      <c r="O92" s="114"/>
      <c r="P92" s="114"/>
      <c r="Q92" s="114"/>
      <c r="R92" s="114"/>
      <c r="S92" s="114"/>
      <c r="T92" s="114"/>
      <c r="U92" s="114"/>
      <c r="V92" s="114"/>
    </row>
    <row r="93" spans="1:22" x14ac:dyDescent="0.25">
      <c r="A93" s="118"/>
      <c r="B93" s="1067"/>
      <c r="C93" s="1068"/>
      <c r="D93" s="1640"/>
      <c r="E93" s="1640"/>
      <c r="F93" s="1640"/>
      <c r="G93" s="1640"/>
      <c r="H93" s="1640"/>
      <c r="I93" s="2196" t="str">
        <f t="shared" si="0"/>
        <v/>
      </c>
      <c r="J93" s="2196"/>
      <c r="K93" s="118"/>
      <c r="L93" s="118"/>
      <c r="M93" s="118"/>
      <c r="N93" s="114"/>
      <c r="O93" s="114"/>
      <c r="P93" s="114"/>
      <c r="Q93" s="114"/>
      <c r="R93" s="114"/>
      <c r="S93" s="114"/>
      <c r="T93" s="114"/>
      <c r="U93" s="114"/>
      <c r="V93" s="114"/>
    </row>
    <row r="94" spans="1:22" x14ac:dyDescent="0.25">
      <c r="A94" s="118"/>
      <c r="B94" s="1067"/>
      <c r="C94" s="1067"/>
      <c r="D94" s="1634"/>
      <c r="E94" s="1634"/>
      <c r="F94" s="1634"/>
      <c r="G94" s="1634"/>
      <c r="H94" s="1634"/>
      <c r="I94" s="2196" t="str">
        <f t="shared" si="0"/>
        <v/>
      </c>
      <c r="J94" s="2196"/>
      <c r="K94" s="118"/>
      <c r="L94" s="118"/>
      <c r="M94" s="118"/>
      <c r="N94" s="114"/>
      <c r="O94" s="114"/>
      <c r="P94" s="114"/>
      <c r="Q94" s="114"/>
      <c r="R94" s="114"/>
      <c r="S94" s="114"/>
      <c r="T94" s="114"/>
      <c r="U94" s="114"/>
      <c r="V94" s="114"/>
    </row>
    <row r="95" spans="1:22" x14ac:dyDescent="0.25">
      <c r="A95" s="118"/>
      <c r="B95" s="1067"/>
      <c r="C95" s="1067"/>
      <c r="D95" s="1634"/>
      <c r="E95" s="1634"/>
      <c r="F95" s="1634"/>
      <c r="G95" s="1634"/>
      <c r="H95" s="1634"/>
      <c r="I95" s="2196" t="str">
        <f t="shared" si="0"/>
        <v/>
      </c>
      <c r="J95" s="2196"/>
      <c r="K95" s="118"/>
      <c r="L95" s="118"/>
      <c r="M95" s="118"/>
      <c r="N95" s="114"/>
      <c r="O95" s="114"/>
      <c r="P95" s="114"/>
      <c r="Q95" s="114"/>
      <c r="R95" s="114"/>
      <c r="S95" s="114"/>
      <c r="T95" s="114"/>
      <c r="U95" s="114"/>
      <c r="V95" s="114"/>
    </row>
    <row r="96" spans="1:22" x14ac:dyDescent="0.25">
      <c r="A96" s="118"/>
      <c r="B96" s="118"/>
      <c r="C96" s="118"/>
      <c r="D96" s="118"/>
      <c r="E96" s="118"/>
      <c r="F96" s="118"/>
      <c r="G96" s="118"/>
      <c r="H96" s="118"/>
      <c r="I96" s="118"/>
      <c r="J96" s="118"/>
      <c r="K96" s="118"/>
      <c r="L96" s="114"/>
      <c r="M96" s="114"/>
      <c r="N96" s="114"/>
      <c r="O96" s="114"/>
      <c r="P96" s="114"/>
      <c r="Q96" s="114"/>
      <c r="R96" s="114"/>
      <c r="S96" s="114"/>
      <c r="T96" s="114"/>
    </row>
    <row r="97" spans="1:20" ht="19.5" customHeight="1" x14ac:dyDescent="0.25">
      <c r="A97" s="118"/>
      <c r="B97" s="2108" t="s">
        <v>1820</v>
      </c>
      <c r="C97" s="2108"/>
      <c r="D97" s="2108"/>
      <c r="E97" s="160">
        <f ca="1">SUMIF(I76:J95,"Yes",C76:C95)</f>
        <v>0</v>
      </c>
      <c r="F97" s="118"/>
      <c r="G97" s="118"/>
      <c r="H97" s="118"/>
      <c r="I97" s="118"/>
      <c r="J97" s="118"/>
      <c r="K97" s="118"/>
      <c r="L97" s="114"/>
      <c r="M97" s="114"/>
      <c r="N97" s="114"/>
      <c r="O97" s="114"/>
      <c r="P97" s="114"/>
      <c r="Q97" s="114"/>
      <c r="R97" s="114"/>
      <c r="S97" s="114"/>
      <c r="T97" s="114"/>
    </row>
    <row r="98" spans="1:20" ht="19.5" customHeight="1" x14ac:dyDescent="0.25">
      <c r="A98" s="118"/>
      <c r="B98" s="2204" t="s">
        <v>1821</v>
      </c>
      <c r="C98" s="2205"/>
      <c r="D98" s="2206"/>
      <c r="E98" s="66">
        <f ca="1">IFERROR(SUMIF(I76:J95,"Yes",C76:C95)/SUM(C76:C95),0)</f>
        <v>0</v>
      </c>
      <c r="F98" s="1330" t="str">
        <f ca="1">IFERROR(IF(E98=1,"→ One EP-1 point can be targeted",""),"")</f>
        <v/>
      </c>
      <c r="G98" s="118"/>
      <c r="H98" s="118"/>
      <c r="I98" s="118"/>
      <c r="J98" s="118"/>
      <c r="K98" s="118"/>
      <c r="L98" s="114"/>
      <c r="M98" s="114"/>
      <c r="N98" s="114"/>
      <c r="O98" s="114"/>
      <c r="P98" s="114"/>
      <c r="Q98" s="114"/>
      <c r="R98" s="114"/>
      <c r="S98" s="114"/>
      <c r="T98" s="114"/>
    </row>
    <row r="99" spans="1:20" ht="20.25" customHeight="1" x14ac:dyDescent="0.25">
      <c r="A99" s="118"/>
      <c r="B99" s="118"/>
      <c r="C99" s="118"/>
      <c r="D99" s="118"/>
      <c r="E99" s="118"/>
      <c r="F99" s="118"/>
      <c r="G99" s="118"/>
      <c r="H99" s="118"/>
      <c r="I99" s="118"/>
      <c r="J99" s="118"/>
      <c r="K99" s="118"/>
      <c r="L99" s="114"/>
      <c r="M99" s="114"/>
      <c r="N99" s="114"/>
      <c r="O99" s="114"/>
      <c r="P99" s="114"/>
      <c r="Q99" s="114"/>
      <c r="R99" s="114"/>
      <c r="S99" s="114"/>
      <c r="T99" s="114"/>
    </row>
    <row r="100" spans="1:20" ht="16.5" customHeight="1" x14ac:dyDescent="0.25">
      <c r="A100" s="2117" t="s">
        <v>84</v>
      </c>
      <c r="B100" s="2117"/>
      <c r="C100" s="2117"/>
      <c r="D100" s="118"/>
      <c r="E100" s="118"/>
      <c r="F100" s="118"/>
      <c r="G100" s="118"/>
      <c r="H100" s="118"/>
      <c r="I100" s="118"/>
      <c r="J100" s="118"/>
      <c r="K100" s="118"/>
      <c r="L100" s="114"/>
      <c r="M100" s="114"/>
      <c r="N100" s="114"/>
      <c r="O100" s="114"/>
      <c r="P100" s="114"/>
      <c r="Q100" s="114"/>
      <c r="R100" s="114"/>
      <c r="S100" s="114"/>
      <c r="T100" s="114"/>
    </row>
    <row r="101" spans="1:20" x14ac:dyDescent="0.25">
      <c r="A101" s="118"/>
      <c r="B101" s="118"/>
      <c r="C101" s="118"/>
      <c r="D101" s="118"/>
      <c r="E101" s="118"/>
      <c r="F101" s="118"/>
      <c r="G101" s="118"/>
      <c r="H101" s="118"/>
      <c r="I101" s="118"/>
      <c r="J101" s="118"/>
      <c r="K101" s="118"/>
      <c r="L101" s="114"/>
      <c r="M101" s="114"/>
      <c r="N101" s="114"/>
      <c r="O101" s="114"/>
      <c r="P101" s="114"/>
      <c r="Q101" s="114"/>
      <c r="R101" s="114"/>
      <c r="S101" s="114"/>
      <c r="T101" s="114"/>
    </row>
    <row r="102" spans="1:20" ht="21" customHeight="1" x14ac:dyDescent="0.25">
      <c r="A102" s="118"/>
      <c r="B102" s="2177" t="s">
        <v>1530</v>
      </c>
      <c r="C102" s="2177"/>
      <c r="D102" s="2177"/>
      <c r="E102" s="2177"/>
      <c r="F102" s="2177"/>
      <c r="G102" s="2177"/>
      <c r="H102" s="2177"/>
      <c r="I102" s="2177"/>
      <c r="J102" s="2104"/>
      <c r="K102" s="2174" t="s">
        <v>907</v>
      </c>
      <c r="L102" s="2176"/>
      <c r="M102" s="2174" t="s">
        <v>908</v>
      </c>
      <c r="N102" s="2175"/>
      <c r="O102" s="2175"/>
      <c r="P102" s="2175"/>
      <c r="Q102" s="114"/>
      <c r="R102" s="114"/>
      <c r="S102" s="114"/>
      <c r="T102" s="114"/>
    </row>
    <row r="103" spans="1:20" ht="24" customHeight="1" x14ac:dyDescent="0.25">
      <c r="A103" s="118"/>
      <c r="B103" s="2201" t="str">
        <f>Submittals!G86</f>
        <v>• Plans and elevations outlining occupied spaces, daylit areas and indicating all glazing and its size</v>
      </c>
      <c r="C103" s="2202"/>
      <c r="D103" s="2202"/>
      <c r="E103" s="2202"/>
      <c r="F103" s="2202"/>
      <c r="G103" s="2202"/>
      <c r="H103" s="2202"/>
      <c r="I103" s="2202"/>
      <c r="J103" s="2203"/>
      <c r="K103" s="1640" t="s">
        <v>53</v>
      </c>
      <c r="L103" s="1640"/>
      <c r="M103" s="1739"/>
      <c r="N103" s="1740"/>
      <c r="O103" s="1740"/>
      <c r="P103" s="1740"/>
      <c r="Q103" s="114"/>
      <c r="R103" s="114"/>
      <c r="S103" s="114"/>
      <c r="T103" s="114"/>
    </row>
    <row r="104" spans="1:20" ht="18" customHeight="1" x14ac:dyDescent="0.25">
      <c r="A104" s="118"/>
      <c r="B104" s="118"/>
      <c r="C104" s="118"/>
      <c r="D104" s="118"/>
      <c r="E104" s="118"/>
      <c r="F104" s="118"/>
      <c r="G104" s="118"/>
      <c r="H104" s="118"/>
      <c r="I104" s="118"/>
      <c r="J104" s="118"/>
      <c r="K104" s="118"/>
      <c r="L104" s="114"/>
      <c r="M104" s="114"/>
      <c r="N104" s="114"/>
      <c r="O104" s="114"/>
      <c r="P104" s="114"/>
      <c r="Q104" s="114"/>
      <c r="R104" s="114"/>
      <c r="S104" s="114"/>
      <c r="T104" s="114"/>
    </row>
    <row r="105" spans="1:20" ht="16.5" customHeight="1" x14ac:dyDescent="0.25">
      <c r="A105" s="2117" t="s">
        <v>5</v>
      </c>
      <c r="B105" s="2117"/>
      <c r="C105" s="2117"/>
      <c r="D105" s="118"/>
      <c r="E105" s="118"/>
      <c r="F105" s="118"/>
      <c r="G105" s="118"/>
      <c r="H105" s="118"/>
      <c r="I105" s="118"/>
      <c r="J105" s="118"/>
      <c r="K105" s="118"/>
      <c r="L105" s="114"/>
      <c r="M105" s="114"/>
      <c r="N105" s="114"/>
      <c r="O105" s="114"/>
      <c r="P105" s="114"/>
      <c r="Q105" s="114"/>
      <c r="R105" s="114"/>
      <c r="S105" s="114"/>
      <c r="T105" s="114"/>
    </row>
    <row r="106" spans="1:20" x14ac:dyDescent="0.25">
      <c r="A106" s="118"/>
      <c r="B106" s="118"/>
      <c r="C106" s="118"/>
      <c r="D106" s="118"/>
      <c r="E106" s="118"/>
      <c r="F106" s="118"/>
      <c r="G106" s="118"/>
      <c r="H106" s="118"/>
      <c r="I106" s="118"/>
      <c r="J106" s="118"/>
      <c r="K106" s="118"/>
      <c r="L106" s="114"/>
      <c r="M106" s="114"/>
      <c r="N106" s="114"/>
      <c r="O106" s="114"/>
      <c r="P106" s="114"/>
      <c r="Q106" s="114"/>
      <c r="R106" s="114"/>
      <c r="S106" s="114"/>
      <c r="T106" s="114"/>
    </row>
    <row r="107" spans="1:20" ht="18" customHeight="1" x14ac:dyDescent="0.25">
      <c r="A107" s="118"/>
      <c r="B107" s="134" t="s">
        <v>16</v>
      </c>
      <c r="C107" s="8">
        <f ca="1">IF(E98="",0,IF(E98&gt;=0.8,2,IF(E98&gt;=0.6,1,0)))</f>
        <v>0</v>
      </c>
      <c r="D107" s="118"/>
      <c r="E107" s="118"/>
      <c r="F107" s="118"/>
      <c r="G107" s="118"/>
      <c r="H107" s="118"/>
      <c r="I107" s="118"/>
      <c r="J107" s="118"/>
      <c r="K107" s="118"/>
      <c r="L107" s="114"/>
      <c r="M107" s="114"/>
      <c r="N107" s="114"/>
      <c r="O107" s="114"/>
      <c r="P107" s="114"/>
      <c r="Q107" s="114"/>
      <c r="R107" s="114"/>
      <c r="S107" s="114"/>
      <c r="T107" s="114"/>
    </row>
    <row r="108" spans="1:20" ht="18" customHeight="1" x14ac:dyDescent="0.25">
      <c r="A108" s="118"/>
      <c r="B108" s="135" t="s">
        <v>133</v>
      </c>
      <c r="C108" s="8" t="str">
        <f ca="1">IF(AND(K103="Submitted",C107&gt;0),"Yes","No")</f>
        <v>No</v>
      </c>
      <c r="D108" s="118"/>
      <c r="E108" s="118"/>
      <c r="F108" s="118"/>
      <c r="G108" s="118"/>
      <c r="H108" s="118"/>
      <c r="I108" s="118"/>
      <c r="J108" s="118"/>
      <c r="K108" s="118"/>
      <c r="L108" s="114"/>
      <c r="M108" s="114"/>
      <c r="N108" s="114"/>
      <c r="O108" s="114"/>
      <c r="P108" s="114"/>
      <c r="Q108" s="114"/>
      <c r="R108" s="114"/>
      <c r="S108" s="114"/>
      <c r="T108" s="114"/>
    </row>
    <row r="109" spans="1:20" ht="21" customHeight="1" x14ac:dyDescent="0.25">
      <c r="A109" s="118"/>
      <c r="B109" s="118"/>
      <c r="C109" s="118"/>
      <c r="D109" s="118"/>
      <c r="E109" s="118"/>
      <c r="F109" s="118"/>
      <c r="G109" s="118"/>
      <c r="H109" s="118"/>
      <c r="I109" s="118"/>
      <c r="J109" s="118"/>
      <c r="K109" s="118"/>
      <c r="L109" s="114"/>
      <c r="M109" s="114"/>
      <c r="N109" s="114"/>
      <c r="O109" s="114"/>
      <c r="P109" s="114"/>
      <c r="Q109" s="114"/>
      <c r="R109" s="114"/>
      <c r="S109" s="114"/>
      <c r="T109" s="114"/>
    </row>
    <row r="110" spans="1:20" ht="18" customHeight="1" x14ac:dyDescent="0.25">
      <c r="A110" s="2107" t="s">
        <v>1826</v>
      </c>
      <c r="B110" s="2107"/>
      <c r="C110" s="2107"/>
      <c r="D110" s="2107"/>
      <c r="E110" s="2107"/>
      <c r="F110" s="2107"/>
      <c r="G110" s="2107"/>
      <c r="H110" s="2107"/>
      <c r="I110" s="2107"/>
      <c r="J110" s="2107"/>
      <c r="K110" s="2107"/>
      <c r="L110" s="2107"/>
      <c r="M110" s="2107"/>
      <c r="N110" s="2107"/>
      <c r="O110" s="2107"/>
      <c r="P110" s="2107"/>
      <c r="Q110" s="2107"/>
      <c r="R110" s="2107"/>
      <c r="S110" s="2107"/>
    </row>
    <row r="111" spans="1:20" x14ac:dyDescent="0.25">
      <c r="A111" s="308"/>
      <c r="B111" s="308"/>
      <c r="C111" s="308"/>
      <c r="D111" s="308"/>
      <c r="E111" s="308"/>
      <c r="F111" s="308"/>
      <c r="G111" s="308"/>
      <c r="H111" s="308"/>
      <c r="I111" s="308"/>
      <c r="J111" s="308"/>
      <c r="K111" s="308"/>
      <c r="L111" s="308"/>
      <c r="M111" s="308"/>
      <c r="N111" s="308"/>
      <c r="O111" s="308"/>
      <c r="P111" s="308"/>
      <c r="Q111" s="308"/>
      <c r="R111" s="308"/>
      <c r="S111" s="308"/>
    </row>
    <row r="112" spans="1:20" x14ac:dyDescent="0.25">
      <c r="A112" s="308"/>
      <c r="B112" s="1122" t="s">
        <v>735</v>
      </c>
      <c r="C112" s="1123"/>
      <c r="D112" s="1123"/>
      <c r="E112" s="1123"/>
      <c r="F112" s="1123"/>
      <c r="G112" s="1123"/>
      <c r="H112" s="1123"/>
      <c r="I112" s="1123"/>
      <c r="J112" s="1123"/>
      <c r="K112" s="1123"/>
      <c r="L112" s="1123"/>
      <c r="M112" s="1123"/>
      <c r="N112" s="1123"/>
      <c r="O112" s="308"/>
      <c r="P112" s="308"/>
      <c r="Q112" s="308"/>
      <c r="R112" s="308"/>
      <c r="S112" s="308"/>
    </row>
    <row r="113" spans="1:24" ht="12" customHeight="1" x14ac:dyDescent="0.25">
      <c r="A113" s="308"/>
      <c r="B113" s="538"/>
      <c r="C113" s="1123"/>
      <c r="D113" s="1123"/>
      <c r="E113" s="1123"/>
      <c r="F113" s="1123"/>
      <c r="G113" s="1123"/>
      <c r="H113" s="1123"/>
      <c r="I113" s="1123"/>
      <c r="J113" s="1123"/>
      <c r="K113" s="1123"/>
      <c r="L113" s="1123"/>
      <c r="M113" s="1123"/>
      <c r="N113" s="1123"/>
      <c r="O113" s="308"/>
      <c r="P113" s="308"/>
      <c r="Q113" s="308"/>
      <c r="R113" s="308"/>
      <c r="S113" s="308"/>
    </row>
    <row r="114" spans="1:24" ht="15" customHeight="1" x14ac:dyDescent="0.25">
      <c r="A114" s="308"/>
      <c r="B114" s="2159" t="s">
        <v>386</v>
      </c>
      <c r="C114" s="2159"/>
      <c r="D114" s="2159"/>
      <c r="E114" s="2159"/>
      <c r="F114" s="2159"/>
      <c r="G114" s="2159"/>
      <c r="H114" s="2159"/>
      <c r="I114" s="2159"/>
      <c r="J114" s="2159"/>
      <c r="K114" s="2159"/>
      <c r="L114" s="2159"/>
      <c r="M114" s="2159"/>
      <c r="N114" s="2159"/>
      <c r="O114" s="308"/>
      <c r="P114" s="308"/>
      <c r="Q114" s="308"/>
      <c r="R114" s="308"/>
      <c r="S114" s="308"/>
    </row>
    <row r="115" spans="1:24" x14ac:dyDescent="0.25">
      <c r="A115" s="308"/>
      <c r="B115" s="2159"/>
      <c r="C115" s="2159"/>
      <c r="D115" s="2159"/>
      <c r="E115" s="2159"/>
      <c r="F115" s="2159"/>
      <c r="G115" s="2159"/>
      <c r="H115" s="2159"/>
      <c r="I115" s="2159"/>
      <c r="J115" s="2159"/>
      <c r="K115" s="2159"/>
      <c r="L115" s="2159"/>
      <c r="M115" s="2159"/>
      <c r="N115" s="2159"/>
      <c r="O115" s="308"/>
      <c r="P115" s="308"/>
      <c r="Q115" s="308"/>
      <c r="R115" s="308"/>
      <c r="S115" s="308"/>
    </row>
    <row r="116" spans="1:24" ht="12" customHeight="1" x14ac:dyDescent="0.25">
      <c r="A116" s="308"/>
      <c r="B116" s="2159"/>
      <c r="C116" s="2159"/>
      <c r="D116" s="2159"/>
      <c r="E116" s="2159"/>
      <c r="F116" s="2159"/>
      <c r="G116" s="2159"/>
      <c r="H116" s="2159"/>
      <c r="I116" s="2159"/>
      <c r="J116" s="2159"/>
      <c r="K116" s="2159"/>
      <c r="L116" s="2159"/>
      <c r="M116" s="2159"/>
      <c r="N116" s="2159"/>
      <c r="O116" s="308"/>
      <c r="P116" s="308"/>
      <c r="Q116" s="308"/>
      <c r="R116" s="308"/>
      <c r="S116" s="308"/>
    </row>
    <row r="117" spans="1:24" ht="9" customHeight="1" x14ac:dyDescent="0.25">
      <c r="A117" s="309"/>
      <c r="B117" s="309"/>
      <c r="C117" s="309"/>
      <c r="D117" s="309"/>
      <c r="E117" s="309"/>
      <c r="F117" s="309"/>
      <c r="G117" s="309"/>
      <c r="H117" s="309"/>
      <c r="I117" s="309"/>
      <c r="J117" s="309"/>
      <c r="K117" s="309"/>
      <c r="L117" s="309"/>
      <c r="M117" s="309"/>
      <c r="N117" s="309"/>
      <c r="O117" s="309"/>
      <c r="P117" s="309"/>
      <c r="Q117" s="309"/>
      <c r="R117" s="309"/>
      <c r="S117" s="309"/>
    </row>
    <row r="118" spans="1:24" ht="18" customHeight="1" x14ac:dyDescent="0.25">
      <c r="A118" s="2117" t="s">
        <v>6</v>
      </c>
      <c r="B118" s="2117"/>
      <c r="C118" s="2117"/>
      <c r="D118" s="309"/>
      <c r="E118" s="309"/>
      <c r="F118" s="309"/>
      <c r="G118" s="309"/>
      <c r="H118" s="309"/>
      <c r="I118" s="309"/>
      <c r="J118" s="309"/>
      <c r="K118" s="309"/>
      <c r="L118" s="309"/>
      <c r="M118" s="309"/>
      <c r="N118" s="309"/>
      <c r="O118" s="309"/>
      <c r="P118" s="309"/>
      <c r="Q118" s="309"/>
      <c r="R118" s="309"/>
      <c r="S118" s="309"/>
    </row>
    <row r="119" spans="1:24" ht="15.75" x14ac:dyDescent="0.25">
      <c r="A119" s="1124"/>
      <c r="B119" s="1125"/>
      <c r="C119" s="1126"/>
      <c r="D119" s="1126"/>
      <c r="E119" s="1126"/>
      <c r="F119" s="1126"/>
      <c r="G119" s="309"/>
      <c r="H119" s="309"/>
      <c r="I119" s="309"/>
      <c r="J119" s="309"/>
      <c r="K119" s="309"/>
      <c r="L119" s="309"/>
      <c r="M119" s="309"/>
      <c r="N119" s="309"/>
      <c r="O119" s="309"/>
      <c r="P119" s="309"/>
      <c r="Q119" s="309"/>
      <c r="R119" s="309"/>
      <c r="S119" s="309"/>
    </row>
    <row r="120" spans="1:24" ht="15.75" x14ac:dyDescent="0.25">
      <c r="A120" s="1124"/>
      <c r="B120" s="1127" t="s">
        <v>848</v>
      </c>
      <c r="C120" s="1126"/>
      <c r="D120" s="1126"/>
      <c r="E120" s="1126"/>
      <c r="F120" s="1126"/>
      <c r="G120" s="309"/>
      <c r="H120" s="309"/>
      <c r="I120" s="309"/>
      <c r="J120" s="309"/>
      <c r="K120" s="309"/>
      <c r="L120" s="309"/>
      <c r="M120" s="309"/>
      <c r="N120" s="309"/>
      <c r="O120" s="309"/>
      <c r="P120" s="309"/>
      <c r="Q120" s="309"/>
      <c r="R120" s="309"/>
      <c r="S120" s="309"/>
    </row>
    <row r="121" spans="1:24" ht="15.75" x14ac:dyDescent="0.25">
      <c r="A121" s="1124"/>
      <c r="B121" s="1128"/>
      <c r="C121" s="1126"/>
      <c r="D121" s="1126"/>
      <c r="E121" s="1126"/>
      <c r="F121" s="1126"/>
      <c r="G121" s="1126"/>
      <c r="H121" s="1126"/>
      <c r="I121" s="1126"/>
      <c r="J121" s="1126"/>
      <c r="K121" s="1126"/>
      <c r="L121" s="1126"/>
      <c r="M121" s="1126"/>
      <c r="N121" s="1126"/>
      <c r="O121" s="1126"/>
      <c r="P121" s="1126"/>
      <c r="Q121" s="1126"/>
      <c r="R121" s="1126"/>
      <c r="S121" s="1126"/>
    </row>
    <row r="122" spans="1:24" ht="15" customHeight="1" x14ac:dyDescent="0.25">
      <c r="A122" s="309"/>
      <c r="B122" s="1129" t="s">
        <v>1362</v>
      </c>
      <c r="C122" s="308"/>
      <c r="D122" s="308"/>
      <c r="E122" s="308"/>
      <c r="F122" s="308"/>
      <c r="G122" s="308"/>
      <c r="H122" s="308"/>
      <c r="I122" s="308"/>
      <c r="J122" s="308"/>
      <c r="K122" s="308"/>
      <c r="L122" s="308"/>
      <c r="M122" s="308"/>
      <c r="N122" s="308"/>
      <c r="O122" s="308"/>
      <c r="P122" s="308"/>
      <c r="Q122" s="308"/>
      <c r="R122" s="308"/>
      <c r="S122" s="308"/>
    </row>
    <row r="123" spans="1:24" ht="13.5" customHeight="1" x14ac:dyDescent="0.25">
      <c r="A123" s="309"/>
      <c r="B123" s="308"/>
      <c r="C123" s="308"/>
      <c r="D123" s="308"/>
      <c r="E123" s="308"/>
      <c r="F123" s="308"/>
      <c r="G123" s="308"/>
      <c r="H123" s="308"/>
      <c r="I123" s="308"/>
      <c r="J123" s="308"/>
      <c r="K123" s="308"/>
      <c r="L123" s="308"/>
      <c r="M123" s="308"/>
      <c r="N123" s="308"/>
      <c r="O123" s="308"/>
      <c r="P123" s="308"/>
      <c r="Q123" s="308"/>
      <c r="R123" s="308"/>
      <c r="S123" s="308"/>
    </row>
    <row r="124" spans="1:24" ht="15" customHeight="1" x14ac:dyDescent="0.25">
      <c r="A124" s="309"/>
      <c r="B124" s="2185" t="s">
        <v>385</v>
      </c>
      <c r="C124" s="2186"/>
      <c r="D124" s="2186"/>
      <c r="E124" s="2187" t="s">
        <v>1935</v>
      </c>
      <c r="F124" s="2188"/>
      <c r="G124" s="2189"/>
      <c r="H124" s="1130"/>
      <c r="I124" s="308"/>
      <c r="J124" s="308"/>
      <c r="K124" s="308"/>
      <c r="L124" s="308"/>
      <c r="M124" s="308"/>
      <c r="N124" s="308"/>
      <c r="O124" s="308"/>
      <c r="P124" s="308"/>
      <c r="Q124" s="308"/>
      <c r="R124" s="308"/>
      <c r="S124" s="309"/>
    </row>
    <row r="125" spans="1:24" ht="15" customHeight="1" x14ac:dyDescent="0.25">
      <c r="A125" s="309"/>
      <c r="B125" s="309"/>
      <c r="C125" s="308"/>
      <c r="D125" s="308"/>
      <c r="E125" s="308"/>
      <c r="F125" s="308"/>
      <c r="G125" s="308"/>
      <c r="H125" s="308"/>
      <c r="I125" s="308"/>
      <c r="J125" s="308"/>
      <c r="K125" s="308"/>
      <c r="L125" s="308"/>
      <c r="M125" s="308"/>
      <c r="N125" s="308"/>
      <c r="O125" s="308"/>
      <c r="P125" s="308"/>
      <c r="Q125" s="308"/>
      <c r="R125" s="308"/>
      <c r="S125" s="309"/>
    </row>
    <row r="126" spans="1:24" ht="15" customHeight="1" x14ac:dyDescent="0.25">
      <c r="A126" s="309"/>
      <c r="B126" s="2157" t="s">
        <v>375</v>
      </c>
      <c r="C126" s="2171" t="s">
        <v>158</v>
      </c>
      <c r="D126" s="2171" t="s">
        <v>167</v>
      </c>
      <c r="E126" s="2171" t="s">
        <v>168</v>
      </c>
      <c r="F126" s="2173" t="s">
        <v>166</v>
      </c>
      <c r="G126" s="2173"/>
      <c r="H126" s="2173"/>
      <c r="I126" s="2171" t="s">
        <v>159</v>
      </c>
      <c r="J126" s="2171" t="s">
        <v>813</v>
      </c>
      <c r="K126" s="2171" t="s">
        <v>389</v>
      </c>
      <c r="L126" s="2173" t="s">
        <v>160</v>
      </c>
      <c r="M126" s="2173"/>
      <c r="N126" s="2173"/>
      <c r="O126" s="2171" t="s">
        <v>388</v>
      </c>
      <c r="P126" s="2171"/>
      <c r="Q126" s="2171" t="s">
        <v>387</v>
      </c>
      <c r="R126" s="2169" t="s">
        <v>77</v>
      </c>
      <c r="S126" s="309"/>
      <c r="W126" s="2167" t="s">
        <v>169</v>
      </c>
      <c r="X126" s="2167" t="s">
        <v>170</v>
      </c>
    </row>
    <row r="127" spans="1:24" x14ac:dyDescent="0.25">
      <c r="A127" s="309"/>
      <c r="B127" s="2158"/>
      <c r="C127" s="2182"/>
      <c r="D127" s="2172"/>
      <c r="E127" s="2172"/>
      <c r="F127" s="230" t="s">
        <v>171</v>
      </c>
      <c r="G127" s="230" t="s">
        <v>161</v>
      </c>
      <c r="H127" s="230" t="s">
        <v>162</v>
      </c>
      <c r="I127" s="2172"/>
      <c r="J127" s="2172"/>
      <c r="K127" s="2172"/>
      <c r="L127" s="230" t="s">
        <v>163</v>
      </c>
      <c r="M127" s="230" t="s">
        <v>164</v>
      </c>
      <c r="N127" s="230" t="s">
        <v>165</v>
      </c>
      <c r="O127" s="2172"/>
      <c r="P127" s="2172"/>
      <c r="Q127" s="2172"/>
      <c r="R127" s="2170"/>
      <c r="S127" s="309"/>
      <c r="W127" s="2168"/>
      <c r="X127" s="2168"/>
    </row>
    <row r="128" spans="1:24" x14ac:dyDescent="0.25">
      <c r="A128" s="309"/>
      <c r="B128" s="228"/>
      <c r="C128" s="228"/>
      <c r="D128" s="228"/>
      <c r="E128" s="228"/>
      <c r="F128" s="228"/>
      <c r="G128" s="228"/>
      <c r="H128" s="228"/>
      <c r="I128" s="228"/>
      <c r="J128" s="228"/>
      <c r="K128" s="228" t="s">
        <v>53</v>
      </c>
      <c r="L128" s="228"/>
      <c r="M128" s="228"/>
      <c r="N128" s="228"/>
      <c r="O128" s="2155"/>
      <c r="P128" s="2156"/>
      <c r="Q128" s="316" t="str">
        <f>IF($E$124="Daylight modelling software",IF(O128="","",O128),IFERROR((D128*(PI()/180)*MOD(E128,180)*I128*J128)/(W128*(1-X128^2)),""))</f>
        <v/>
      </c>
      <c r="R128" s="229" t="str">
        <f>IF(Q128="","",IF(AND(Q128&lt;=0.035,Q128&gt;=0.015),"Yes",IF(AND(Q128&gt;0.035,K128="Yes"),"Yes","No")))</f>
        <v/>
      </c>
      <c r="S128" s="309"/>
      <c r="W128" s="35">
        <f>(F128*G128)*2+(G128*H128)*2+(F128*H128)*2</f>
        <v>0</v>
      </c>
      <c r="X128" s="35" t="e">
        <f>(L128*(F128*G128)+M128*(F128+G128)*2*H128+N128*(F128*G128))/W128</f>
        <v>#DIV/0!</v>
      </c>
    </row>
    <row r="129" spans="1:24" x14ac:dyDescent="0.25">
      <c r="A129" s="309"/>
      <c r="B129" s="98"/>
      <c r="C129" s="98"/>
      <c r="D129" s="98"/>
      <c r="E129" s="98"/>
      <c r="F129" s="98"/>
      <c r="G129" s="98"/>
      <c r="H129" s="98"/>
      <c r="I129" s="98"/>
      <c r="J129" s="98"/>
      <c r="K129" s="228" t="s">
        <v>53</v>
      </c>
      <c r="L129" s="228"/>
      <c r="M129" s="228"/>
      <c r="N129" s="228"/>
      <c r="O129" s="2155"/>
      <c r="P129" s="2156"/>
      <c r="Q129" s="316" t="str">
        <f>IF($E$124="Daylight modelling software",IF(O129="","",O129),IFERROR((D129*(PI()/180)*MOD(E129,180)*I129*J129)/(W129*(1-X129^2)),""))</f>
        <v/>
      </c>
      <c r="R129" s="229" t="str">
        <f t="shared" ref="R129:R147" si="2">IF(Q129="","",IF(AND(Q129&lt;=0.035,Q129&gt;=0.015),"Yes",IF(AND(Q129&gt;0.035,K129="Yes"),"Yes","No")))</f>
        <v/>
      </c>
      <c r="S129" s="309"/>
      <c r="W129" s="35">
        <f t="shared" ref="W129:W147" si="3">(F129*G129)*2+(G129*H129)*2+(F129*H129)*2</f>
        <v>0</v>
      </c>
      <c r="X129" s="35" t="e">
        <f t="shared" ref="X129:X147" si="4">(L129*(F129*G129)+M129*(F129+G129)*2*H129+N129*(F129*G129))/W129</f>
        <v>#DIV/0!</v>
      </c>
    </row>
    <row r="130" spans="1:24" x14ac:dyDescent="0.25">
      <c r="A130" s="309"/>
      <c r="B130" s="98"/>
      <c r="C130" s="98"/>
      <c r="D130" s="98"/>
      <c r="E130" s="98"/>
      <c r="F130" s="98"/>
      <c r="G130" s="98"/>
      <c r="H130" s="98"/>
      <c r="I130" s="98"/>
      <c r="J130" s="98"/>
      <c r="K130" s="228" t="s">
        <v>53</v>
      </c>
      <c r="L130" s="98"/>
      <c r="M130" s="98"/>
      <c r="N130" s="98"/>
      <c r="O130" s="2155"/>
      <c r="P130" s="2156"/>
      <c r="Q130" s="316" t="str">
        <f>IF($E$124="Daylight modelling software",IF(O130="","",O130),IFERROR((D130*(PI()/180)*MOD(E130,180)*I130*J130)/(W130*(1-X130^2)),""))</f>
        <v/>
      </c>
      <c r="R130" s="229" t="str">
        <f t="shared" si="2"/>
        <v/>
      </c>
      <c r="S130" s="309"/>
      <c r="W130" s="35">
        <f t="shared" si="3"/>
        <v>0</v>
      </c>
      <c r="X130" s="35" t="e">
        <f t="shared" si="4"/>
        <v>#DIV/0!</v>
      </c>
    </row>
    <row r="131" spans="1:24" x14ac:dyDescent="0.25">
      <c r="A131" s="309"/>
      <c r="B131" s="98"/>
      <c r="C131" s="98"/>
      <c r="D131" s="98"/>
      <c r="E131" s="98"/>
      <c r="F131" s="98"/>
      <c r="G131" s="98"/>
      <c r="H131" s="98"/>
      <c r="I131" s="98"/>
      <c r="J131" s="98"/>
      <c r="K131" s="228" t="s">
        <v>53</v>
      </c>
      <c r="L131" s="98"/>
      <c r="M131" s="98"/>
      <c r="N131" s="98"/>
      <c r="O131" s="2155"/>
      <c r="P131" s="2156"/>
      <c r="Q131" s="316" t="str">
        <f>IF($E$124="Daylight modelling software",IF(O131="","",O131),IFERROR((D131*(PI()/180)*MOD(E131,180)*I131*J131)/(W131*(1-X131^2)),""))</f>
        <v/>
      </c>
      <c r="R131" s="229" t="str">
        <f t="shared" si="2"/>
        <v/>
      </c>
      <c r="S131" s="309"/>
      <c r="W131" s="35">
        <f t="shared" si="3"/>
        <v>0</v>
      </c>
      <c r="X131" s="35" t="e">
        <f t="shared" si="4"/>
        <v>#DIV/0!</v>
      </c>
    </row>
    <row r="132" spans="1:24" x14ac:dyDescent="0.25">
      <c r="A132" s="309"/>
      <c r="B132" s="339"/>
      <c r="C132" s="339"/>
      <c r="D132" s="339"/>
      <c r="E132" s="339"/>
      <c r="F132" s="339"/>
      <c r="G132" s="339"/>
      <c r="H132" s="339"/>
      <c r="I132" s="339"/>
      <c r="J132" s="339"/>
      <c r="K132" s="228" t="s">
        <v>53</v>
      </c>
      <c r="L132" s="339"/>
      <c r="M132" s="339"/>
      <c r="N132" s="339"/>
      <c r="O132" s="2155"/>
      <c r="P132" s="2156"/>
      <c r="Q132" s="340" t="str">
        <f>IF($E$124="Daylight modelling software",IF(O132="","",O132),IFERROR((D132*(PI()/180)*MOD(E132,180)*I132*J132)/(W132*(1-X132^2)),""))</f>
        <v/>
      </c>
      <c r="R132" s="229" t="str">
        <f t="shared" ref="R132" si="5">IF(Q132="","",IF(AND(Q132&lt;=0.035,Q132&gt;=0.015),"Yes",IF(AND(Q132&gt;0.035,K132="Yes"),"Yes","No")))</f>
        <v/>
      </c>
      <c r="S132" s="309"/>
      <c r="W132" s="35">
        <f t="shared" si="3"/>
        <v>0</v>
      </c>
      <c r="X132" s="35" t="e">
        <f t="shared" si="4"/>
        <v>#DIV/0!</v>
      </c>
    </row>
    <row r="133" spans="1:24" x14ac:dyDescent="0.25">
      <c r="A133" s="309"/>
      <c r="B133" s="569"/>
      <c r="C133" s="569"/>
      <c r="D133" s="569"/>
      <c r="E133" s="569"/>
      <c r="F133" s="569"/>
      <c r="G133" s="569"/>
      <c r="H133" s="569"/>
      <c r="I133" s="569"/>
      <c r="J133" s="569"/>
      <c r="K133" s="228" t="s">
        <v>53</v>
      </c>
      <c r="L133" s="569"/>
      <c r="M133" s="569"/>
      <c r="N133" s="569"/>
      <c r="O133" s="2155"/>
      <c r="P133" s="2156"/>
      <c r="Q133" s="570" t="str">
        <f t="shared" ref="Q133:Q142" si="6">IF($E$124="Daylight modelling software",IF(O133="","",O133),IFERROR((D133*(PI()/180)*MOD(E133,180)*I133*J133)/(W133*(1-X133^2)),""))</f>
        <v/>
      </c>
      <c r="R133" s="229" t="str">
        <f t="shared" ref="R133:R142" si="7">IF(Q133="","",IF(AND(Q133&lt;=0.035,Q133&gt;=0.015),"Yes",IF(AND(Q133&gt;0.035,K133="Yes"),"Yes","No")))</f>
        <v/>
      </c>
      <c r="S133" s="309"/>
      <c r="W133" s="35">
        <f t="shared" si="3"/>
        <v>0</v>
      </c>
      <c r="X133" s="35" t="e">
        <f t="shared" si="4"/>
        <v>#DIV/0!</v>
      </c>
    </row>
    <row r="134" spans="1:24" x14ac:dyDescent="0.25">
      <c r="A134" s="309"/>
      <c r="B134" s="569"/>
      <c r="C134" s="569"/>
      <c r="D134" s="569"/>
      <c r="E134" s="569"/>
      <c r="F134" s="569"/>
      <c r="G134" s="569"/>
      <c r="H134" s="569"/>
      <c r="I134" s="569"/>
      <c r="J134" s="569"/>
      <c r="K134" s="228" t="s">
        <v>53</v>
      </c>
      <c r="L134" s="569"/>
      <c r="M134" s="569"/>
      <c r="N134" s="569"/>
      <c r="O134" s="2155"/>
      <c r="P134" s="2156"/>
      <c r="Q134" s="570" t="str">
        <f t="shared" si="6"/>
        <v/>
      </c>
      <c r="R134" s="229" t="str">
        <f t="shared" si="7"/>
        <v/>
      </c>
      <c r="S134" s="309"/>
      <c r="W134" s="35">
        <f t="shared" si="3"/>
        <v>0</v>
      </c>
      <c r="X134" s="35" t="e">
        <f t="shared" si="4"/>
        <v>#DIV/0!</v>
      </c>
    </row>
    <row r="135" spans="1:24" x14ac:dyDescent="0.25">
      <c r="A135" s="309"/>
      <c r="B135" s="1190"/>
      <c r="C135" s="1190"/>
      <c r="D135" s="1190"/>
      <c r="E135" s="1190"/>
      <c r="F135" s="1190"/>
      <c r="G135" s="1190"/>
      <c r="H135" s="1190"/>
      <c r="I135" s="1190"/>
      <c r="J135" s="1190"/>
      <c r="K135" s="1192" t="s">
        <v>53</v>
      </c>
      <c r="L135" s="1190"/>
      <c r="M135" s="1190"/>
      <c r="N135" s="1190"/>
      <c r="O135" s="2155"/>
      <c r="P135" s="2156"/>
      <c r="Q135" s="570" t="str">
        <f t="shared" ref="Q135:Q137" si="8">IF($E$124="Daylight modelling software",IF(O135="","",O135),IFERROR((D135*(PI()/180)*MOD(E135,180)*I135*J135)/(W135*(1-X135^2)),""))</f>
        <v/>
      </c>
      <c r="R135" s="229" t="str">
        <f t="shared" ref="R135:R139" si="9">IF(Q135="","",IF(AND(Q135&lt;=0.035,Q135&gt;=0.015),"Yes",IF(AND(Q135&gt;0.035,K135="Yes"),"Yes","No")))</f>
        <v/>
      </c>
      <c r="S135" s="309"/>
      <c r="W135" s="35">
        <f t="shared" ref="W135:W139" si="10">(F135*G135)*2+(G135*H135)*2+(F135*H135)*2</f>
        <v>0</v>
      </c>
      <c r="X135" s="35" t="e">
        <f t="shared" ref="X135:X139" si="11">(L135*(F135*G135)+M135*(F135+G135)*2*H135+N135*(F135*G135))/W135</f>
        <v>#DIV/0!</v>
      </c>
    </row>
    <row r="136" spans="1:24" x14ac:dyDescent="0.25">
      <c r="A136" s="309"/>
      <c r="B136" s="1190"/>
      <c r="C136" s="1190"/>
      <c r="D136" s="1190"/>
      <c r="E136" s="1190"/>
      <c r="F136" s="1190"/>
      <c r="G136" s="1190"/>
      <c r="H136" s="1190"/>
      <c r="I136" s="1190"/>
      <c r="J136" s="1190"/>
      <c r="K136" s="1192" t="s">
        <v>53</v>
      </c>
      <c r="L136" s="1190"/>
      <c r="M136" s="1190"/>
      <c r="N136" s="1190"/>
      <c r="O136" s="2155"/>
      <c r="P136" s="2156"/>
      <c r="Q136" s="570" t="str">
        <f t="shared" si="8"/>
        <v/>
      </c>
      <c r="R136" s="229" t="str">
        <f t="shared" si="9"/>
        <v/>
      </c>
      <c r="S136" s="309"/>
      <c r="T136" s="46"/>
      <c r="W136" s="35">
        <f t="shared" si="10"/>
        <v>0</v>
      </c>
      <c r="X136" s="35" t="e">
        <f t="shared" si="11"/>
        <v>#DIV/0!</v>
      </c>
    </row>
    <row r="137" spans="1:24" x14ac:dyDescent="0.25">
      <c r="A137" s="309"/>
      <c r="B137" s="1190"/>
      <c r="C137" s="1190"/>
      <c r="D137" s="1190"/>
      <c r="E137" s="1190"/>
      <c r="F137" s="1190"/>
      <c r="G137" s="1190"/>
      <c r="H137" s="1190"/>
      <c r="I137" s="1190"/>
      <c r="J137" s="1190"/>
      <c r="K137" s="1192" t="s">
        <v>53</v>
      </c>
      <c r="L137" s="1190"/>
      <c r="M137" s="1190"/>
      <c r="N137" s="1190"/>
      <c r="O137" s="2155"/>
      <c r="P137" s="2156"/>
      <c r="Q137" s="570" t="str">
        <f t="shared" si="8"/>
        <v/>
      </c>
      <c r="R137" s="229" t="str">
        <f t="shared" si="9"/>
        <v/>
      </c>
      <c r="S137" s="309"/>
      <c r="T137" s="46"/>
      <c r="W137" s="35">
        <f t="shared" si="10"/>
        <v>0</v>
      </c>
      <c r="X137" s="35" t="e">
        <f t="shared" si="11"/>
        <v>#DIV/0!</v>
      </c>
    </row>
    <row r="138" spans="1:24" x14ac:dyDescent="0.25">
      <c r="A138" s="309"/>
      <c r="B138" s="1190"/>
      <c r="C138" s="1190"/>
      <c r="D138" s="1190"/>
      <c r="E138" s="1190"/>
      <c r="F138" s="1190"/>
      <c r="G138" s="1190"/>
      <c r="H138" s="1190"/>
      <c r="I138" s="1190"/>
      <c r="J138" s="1190"/>
      <c r="K138" s="1192" t="s">
        <v>53</v>
      </c>
      <c r="L138" s="1190"/>
      <c r="M138" s="1190"/>
      <c r="N138" s="1190"/>
      <c r="O138" s="2155"/>
      <c r="P138" s="2156"/>
      <c r="Q138" s="570" t="str">
        <f>IF($E$124="Daylight modelling software",IF(O138="","",O138),IFERROR((D138*(PI()/180)*MOD(E138,180)*I138*J138)/(W138*(1-X138^2)),""))</f>
        <v/>
      </c>
      <c r="R138" s="229" t="str">
        <f t="shared" si="9"/>
        <v/>
      </c>
      <c r="S138" s="309"/>
      <c r="T138" s="46"/>
      <c r="W138" s="35">
        <f t="shared" si="10"/>
        <v>0</v>
      </c>
      <c r="X138" s="35" t="e">
        <f t="shared" si="11"/>
        <v>#DIV/0!</v>
      </c>
    </row>
    <row r="139" spans="1:24" x14ac:dyDescent="0.25">
      <c r="A139" s="309"/>
      <c r="B139" s="1190"/>
      <c r="C139" s="1190"/>
      <c r="D139" s="1190"/>
      <c r="E139" s="1190"/>
      <c r="F139" s="1190"/>
      <c r="G139" s="1190"/>
      <c r="H139" s="1190"/>
      <c r="I139" s="1190"/>
      <c r="J139" s="1190"/>
      <c r="K139" s="1192" t="s">
        <v>53</v>
      </c>
      <c r="L139" s="1190"/>
      <c r="M139" s="1190"/>
      <c r="N139" s="1190"/>
      <c r="O139" s="2155"/>
      <c r="P139" s="2156"/>
      <c r="Q139" s="570" t="str">
        <f>IF($E$124="Daylight modelling software",IF(O139="","",O139),IFERROR((D139*(PI()/180)*MOD(E139,180)*I139*J139)/(W139*(1-X139^2)),""))</f>
        <v/>
      </c>
      <c r="R139" s="229" t="str">
        <f t="shared" si="9"/>
        <v/>
      </c>
      <c r="S139" s="309"/>
      <c r="T139" s="46"/>
      <c r="W139" s="35">
        <f t="shared" si="10"/>
        <v>0</v>
      </c>
      <c r="X139" s="35" t="e">
        <f t="shared" si="11"/>
        <v>#DIV/0!</v>
      </c>
    </row>
    <row r="140" spans="1:24" x14ac:dyDescent="0.25">
      <c r="A140" s="309"/>
      <c r="B140" s="569"/>
      <c r="C140" s="569"/>
      <c r="D140" s="569"/>
      <c r="E140" s="569"/>
      <c r="F140" s="569"/>
      <c r="G140" s="569"/>
      <c r="H140" s="569"/>
      <c r="I140" s="569"/>
      <c r="J140" s="569"/>
      <c r="K140" s="228" t="s">
        <v>53</v>
      </c>
      <c r="L140" s="569"/>
      <c r="M140" s="569"/>
      <c r="N140" s="569"/>
      <c r="O140" s="2155"/>
      <c r="P140" s="2156"/>
      <c r="Q140" s="570" t="str">
        <f t="shared" si="6"/>
        <v/>
      </c>
      <c r="R140" s="229" t="str">
        <f t="shared" si="7"/>
        <v/>
      </c>
      <c r="S140" s="309"/>
      <c r="W140" s="35">
        <f t="shared" si="3"/>
        <v>0</v>
      </c>
      <c r="X140" s="35" t="e">
        <f t="shared" si="4"/>
        <v>#DIV/0!</v>
      </c>
    </row>
    <row r="141" spans="1:24" x14ac:dyDescent="0.25">
      <c r="A141" s="309"/>
      <c r="B141" s="569"/>
      <c r="C141" s="569"/>
      <c r="D141" s="569"/>
      <c r="E141" s="569"/>
      <c r="F141" s="569"/>
      <c r="G141" s="569"/>
      <c r="H141" s="569"/>
      <c r="I141" s="569"/>
      <c r="J141" s="569"/>
      <c r="K141" s="228" t="s">
        <v>53</v>
      </c>
      <c r="L141" s="569"/>
      <c r="M141" s="569"/>
      <c r="N141" s="569"/>
      <c r="O141" s="2155"/>
      <c r="P141" s="2156"/>
      <c r="Q141" s="570" t="str">
        <f t="shared" si="6"/>
        <v/>
      </c>
      <c r="R141" s="229" t="str">
        <f t="shared" si="7"/>
        <v/>
      </c>
      <c r="S141" s="309"/>
      <c r="T141" s="46"/>
      <c r="W141" s="35">
        <f t="shared" si="3"/>
        <v>0</v>
      </c>
      <c r="X141" s="35" t="e">
        <f t="shared" si="4"/>
        <v>#DIV/0!</v>
      </c>
    </row>
    <row r="142" spans="1:24" x14ac:dyDescent="0.25">
      <c r="A142" s="309"/>
      <c r="B142" s="569"/>
      <c r="C142" s="569"/>
      <c r="D142" s="569"/>
      <c r="E142" s="569"/>
      <c r="F142" s="569"/>
      <c r="G142" s="569"/>
      <c r="H142" s="569"/>
      <c r="I142" s="569"/>
      <c r="J142" s="569"/>
      <c r="K142" s="228" t="s">
        <v>53</v>
      </c>
      <c r="L142" s="569"/>
      <c r="M142" s="569"/>
      <c r="N142" s="569"/>
      <c r="O142" s="2155"/>
      <c r="P142" s="2156"/>
      <c r="Q142" s="570" t="str">
        <f t="shared" si="6"/>
        <v/>
      </c>
      <c r="R142" s="229" t="str">
        <f t="shared" si="7"/>
        <v/>
      </c>
      <c r="S142" s="309"/>
      <c r="T142" s="46"/>
      <c r="W142" s="35">
        <f t="shared" si="3"/>
        <v>0</v>
      </c>
      <c r="X142" s="35" t="e">
        <f t="shared" si="4"/>
        <v>#DIV/0!</v>
      </c>
    </row>
    <row r="143" spans="1:24" x14ac:dyDescent="0.25">
      <c r="A143" s="309"/>
      <c r="B143" s="98"/>
      <c r="C143" s="98"/>
      <c r="D143" s="98"/>
      <c r="E143" s="98"/>
      <c r="F143" s="98"/>
      <c r="G143" s="98"/>
      <c r="H143" s="98"/>
      <c r="I143" s="98"/>
      <c r="J143" s="98"/>
      <c r="K143" s="228" t="s">
        <v>53</v>
      </c>
      <c r="L143" s="98"/>
      <c r="M143" s="98"/>
      <c r="N143" s="98"/>
      <c r="O143" s="2155"/>
      <c r="P143" s="2156"/>
      <c r="Q143" s="316" t="str">
        <f>IF($E$124="Daylight modelling software",IF(O143="","",O143),IFERROR((D143*(PI()/180)*MOD(E143,180)*I143*J143)/(W143*(1-X143^2)),""))</f>
        <v/>
      </c>
      <c r="R143" s="229" t="str">
        <f t="shared" si="2"/>
        <v/>
      </c>
      <c r="S143" s="309"/>
      <c r="T143" s="46"/>
      <c r="W143" s="35">
        <f t="shared" si="3"/>
        <v>0</v>
      </c>
      <c r="X143" s="35" t="e">
        <f t="shared" si="4"/>
        <v>#DIV/0!</v>
      </c>
    </row>
    <row r="144" spans="1:24" x14ac:dyDescent="0.25">
      <c r="A144" s="309"/>
      <c r="B144" s="98"/>
      <c r="C144" s="98"/>
      <c r="D144" s="98"/>
      <c r="E144" s="98"/>
      <c r="F144" s="98"/>
      <c r="G144" s="98"/>
      <c r="H144" s="98"/>
      <c r="I144" s="98"/>
      <c r="J144" s="98"/>
      <c r="K144" s="228" t="s">
        <v>53</v>
      </c>
      <c r="L144" s="98"/>
      <c r="M144" s="98"/>
      <c r="N144" s="98"/>
      <c r="O144" s="2155"/>
      <c r="P144" s="2156"/>
      <c r="Q144" s="316" t="str">
        <f>IF($E$124="Daylight modelling software",IF(O144="","",O144),IFERROR((D144*(PI()/180)*MOD(E144,180)*I144*J144)/(W144*(1-X144^2)),""))</f>
        <v/>
      </c>
      <c r="R144" s="229" t="str">
        <f t="shared" si="2"/>
        <v/>
      </c>
      <c r="S144" s="309"/>
      <c r="T144" s="46"/>
      <c r="W144" s="35">
        <f t="shared" si="3"/>
        <v>0</v>
      </c>
      <c r="X144" s="35" t="e">
        <f t="shared" si="4"/>
        <v>#DIV/0!</v>
      </c>
    </row>
    <row r="145" spans="1:43" x14ac:dyDescent="0.25">
      <c r="A145" s="309"/>
      <c r="B145" s="98"/>
      <c r="C145" s="98"/>
      <c r="D145" s="98"/>
      <c r="E145" s="98"/>
      <c r="F145" s="98"/>
      <c r="G145" s="98"/>
      <c r="H145" s="98"/>
      <c r="I145" s="98"/>
      <c r="J145" s="98"/>
      <c r="K145" s="228" t="s">
        <v>53</v>
      </c>
      <c r="L145" s="98"/>
      <c r="M145" s="98"/>
      <c r="N145" s="98"/>
      <c r="O145" s="2155"/>
      <c r="P145" s="2156"/>
      <c r="Q145" s="316" t="str">
        <f>IF($E$124="Daylight modelling software",IF(O145="","",O145),IFERROR((D145*(PI()/180)*MOD(E145,180)*I145*J145)/(W145*(1-X145^2)),""))</f>
        <v/>
      </c>
      <c r="R145" s="229" t="str">
        <f t="shared" si="2"/>
        <v/>
      </c>
      <c r="S145" s="309"/>
      <c r="T145" s="46"/>
      <c r="W145" s="35">
        <f t="shared" si="3"/>
        <v>0</v>
      </c>
      <c r="X145" s="35" t="e">
        <f t="shared" si="4"/>
        <v>#DIV/0!</v>
      </c>
    </row>
    <row r="146" spans="1:43" x14ac:dyDescent="0.25">
      <c r="A146" s="309"/>
      <c r="B146" s="98"/>
      <c r="C146" s="98"/>
      <c r="D146" s="98"/>
      <c r="E146" s="98"/>
      <c r="F146" s="98"/>
      <c r="G146" s="98"/>
      <c r="H146" s="98"/>
      <c r="I146" s="98"/>
      <c r="J146" s="98"/>
      <c r="K146" s="228" t="s">
        <v>53</v>
      </c>
      <c r="L146" s="98"/>
      <c r="M146" s="98"/>
      <c r="N146" s="98"/>
      <c r="O146" s="2155"/>
      <c r="P146" s="2156"/>
      <c r="Q146" s="316" t="str">
        <f>IF($E$124="Daylight modelling software",IF(O146="","",O146),IFERROR((D146*(PI()/180)*MOD(E146,180)*I146*J146)/(W146*(1-X146^2)),""))</f>
        <v/>
      </c>
      <c r="R146" s="229" t="str">
        <f t="shared" si="2"/>
        <v/>
      </c>
      <c r="S146" s="309"/>
      <c r="T146" s="46"/>
      <c r="W146" s="35">
        <f t="shared" si="3"/>
        <v>0</v>
      </c>
      <c r="X146" s="35" t="e">
        <f t="shared" si="4"/>
        <v>#DIV/0!</v>
      </c>
    </row>
    <row r="147" spans="1:43" x14ac:dyDescent="0.25">
      <c r="A147" s="309"/>
      <c r="B147" s="98"/>
      <c r="C147" s="98"/>
      <c r="D147" s="98"/>
      <c r="E147" s="98"/>
      <c r="F147" s="98"/>
      <c r="G147" s="98"/>
      <c r="H147" s="98"/>
      <c r="I147" s="98"/>
      <c r="J147" s="98"/>
      <c r="K147" s="228" t="s">
        <v>53</v>
      </c>
      <c r="L147" s="98"/>
      <c r="M147" s="98"/>
      <c r="N147" s="98"/>
      <c r="O147" s="2155"/>
      <c r="P147" s="2156"/>
      <c r="Q147" s="316" t="str">
        <f>IF($E$124="Daylight modelling software",IF(O147="","",O147),IFERROR((D147*(PI()/180)*MOD(E147,180)*I147*J147)/(W147*(1-X147^2)),""))</f>
        <v/>
      </c>
      <c r="R147" s="229" t="str">
        <f t="shared" si="2"/>
        <v/>
      </c>
      <c r="S147" s="309"/>
      <c r="T147" s="46"/>
      <c r="W147" s="35">
        <f t="shared" si="3"/>
        <v>0</v>
      </c>
      <c r="X147" s="35" t="e">
        <f t="shared" si="4"/>
        <v>#DIV/0!</v>
      </c>
    </row>
    <row r="148" spans="1:43" ht="16.5" customHeight="1" x14ac:dyDescent="0.25">
      <c r="A148" s="309"/>
      <c r="B148" s="309"/>
      <c r="C148" s="309"/>
      <c r="D148" s="309"/>
      <c r="E148" s="309"/>
      <c r="F148" s="309"/>
      <c r="G148" s="309"/>
      <c r="H148" s="309"/>
      <c r="I148" s="309"/>
      <c r="J148" s="309"/>
      <c r="K148" s="309"/>
      <c r="L148" s="309"/>
      <c r="M148" s="309"/>
      <c r="N148" s="309"/>
      <c r="O148" s="309"/>
      <c r="P148" s="309"/>
      <c r="Q148" s="309"/>
      <c r="R148" s="309"/>
      <c r="S148" s="309"/>
      <c r="T148" s="46"/>
    </row>
    <row r="149" spans="1:43" ht="18.75" customHeight="1" x14ac:dyDescent="0.25">
      <c r="A149" s="309"/>
      <c r="B149" s="2108" t="s">
        <v>1240</v>
      </c>
      <c r="C149" s="2108"/>
      <c r="D149" s="2108"/>
      <c r="E149" s="160">
        <f>SUMIF(R128:R147,"Yes",C128:C147)</f>
        <v>0</v>
      </c>
      <c r="F149" s="309"/>
      <c r="G149" s="309"/>
      <c r="H149" s="309"/>
      <c r="I149" s="309"/>
      <c r="J149" s="309"/>
      <c r="K149" s="309"/>
      <c r="L149" s="309"/>
      <c r="M149" s="309"/>
      <c r="N149" s="309"/>
      <c r="O149" s="309"/>
      <c r="P149" s="309"/>
      <c r="Q149" s="309"/>
      <c r="R149" s="309"/>
      <c r="S149" s="309"/>
      <c r="T149" s="46"/>
    </row>
    <row r="150" spans="1:43" ht="18.75" customHeight="1" x14ac:dyDescent="0.25">
      <c r="A150" s="309"/>
      <c r="B150" s="2108" t="s">
        <v>172</v>
      </c>
      <c r="C150" s="2108"/>
      <c r="D150" s="2108"/>
      <c r="E150" s="66">
        <f>IFERROR(E149/SUM(C128:C147),0)</f>
        <v>0</v>
      </c>
      <c r="F150" s="1331" t="str">
        <f>IFERROR(IF(E150=1,"→ One EP-1 point can be targeted",""),"")</f>
        <v/>
      </c>
      <c r="G150" s="309"/>
      <c r="H150" s="309"/>
      <c r="I150" s="309"/>
      <c r="J150" s="309"/>
      <c r="K150" s="309"/>
      <c r="L150" s="309"/>
      <c r="M150" s="309"/>
      <c r="N150" s="309"/>
      <c r="O150" s="309"/>
      <c r="P150" s="309"/>
      <c r="Q150" s="309"/>
      <c r="R150" s="309"/>
      <c r="S150" s="309"/>
      <c r="T150" s="46"/>
    </row>
    <row r="151" spans="1:43" ht="19.5" customHeight="1" x14ac:dyDescent="0.25">
      <c r="A151" s="309"/>
      <c r="B151" s="309"/>
      <c r="C151" s="309"/>
      <c r="D151" s="309"/>
      <c r="E151" s="309"/>
      <c r="F151" s="309"/>
      <c r="G151" s="309"/>
      <c r="H151" s="309"/>
      <c r="I151" s="309"/>
      <c r="J151" s="309"/>
      <c r="K151" s="309"/>
      <c r="L151" s="309"/>
      <c r="M151" s="309"/>
      <c r="N151" s="309"/>
      <c r="O151" s="309"/>
      <c r="P151" s="309"/>
      <c r="Q151" s="309"/>
      <c r="R151" s="309"/>
      <c r="S151" s="309"/>
      <c r="T151" s="46"/>
    </row>
    <row r="152" spans="1:43" ht="18" customHeight="1" x14ac:dyDescent="0.25">
      <c r="A152" s="2117" t="s">
        <v>84</v>
      </c>
      <c r="B152" s="2117"/>
      <c r="C152" s="2117"/>
      <c r="D152" s="309"/>
      <c r="E152" s="309"/>
      <c r="F152" s="309"/>
      <c r="G152" s="309"/>
      <c r="H152" s="309"/>
      <c r="I152" s="309"/>
      <c r="J152" s="309"/>
      <c r="K152" s="309"/>
      <c r="L152" s="309"/>
      <c r="M152" s="309"/>
      <c r="N152" s="309"/>
      <c r="O152" s="309"/>
      <c r="P152" s="309"/>
      <c r="Q152" s="309"/>
      <c r="R152" s="309"/>
      <c r="S152" s="309"/>
      <c r="T152" s="46"/>
    </row>
    <row r="153" spans="1:43" x14ac:dyDescent="0.25">
      <c r="A153" s="309"/>
      <c r="B153" s="309"/>
      <c r="C153" s="309"/>
      <c r="D153" s="309"/>
      <c r="E153" s="309"/>
      <c r="F153" s="309"/>
      <c r="G153" s="309"/>
      <c r="H153" s="309"/>
      <c r="I153" s="309"/>
      <c r="J153" s="309"/>
      <c r="K153" s="309"/>
      <c r="L153" s="309"/>
      <c r="M153" s="309"/>
      <c r="N153" s="309"/>
      <c r="O153" s="309"/>
      <c r="P153" s="309"/>
      <c r="Q153" s="309"/>
      <c r="R153" s="309"/>
      <c r="S153" s="309"/>
      <c r="T153" s="46"/>
    </row>
    <row r="154" spans="1:43" ht="21" customHeight="1" x14ac:dyDescent="0.25">
      <c r="A154" s="309"/>
      <c r="B154" s="2177" t="s">
        <v>1530</v>
      </c>
      <c r="C154" s="2177"/>
      <c r="D154" s="2177"/>
      <c r="E154" s="2177"/>
      <c r="F154" s="2177"/>
      <c r="G154" s="2177"/>
      <c r="H154" s="2177"/>
      <c r="I154" s="2177"/>
      <c r="J154" s="2104"/>
      <c r="K154" s="2174" t="s">
        <v>907</v>
      </c>
      <c r="L154" s="2176"/>
      <c r="M154" s="2174" t="s">
        <v>908</v>
      </c>
      <c r="N154" s="2175"/>
      <c r="O154" s="2175"/>
      <c r="P154" s="2175"/>
      <c r="Q154" s="309"/>
      <c r="R154" s="309"/>
      <c r="S154" s="309"/>
      <c r="T154" s="46"/>
    </row>
    <row r="155" spans="1:43" ht="27" customHeight="1" x14ac:dyDescent="0.25">
      <c r="A155" s="309"/>
      <c r="B155" s="1648" t="str">
        <f>Submittals!G88</f>
        <v>• Plans and elevations outlining occupied spaces, daylit areas and indicating all glazing areas</v>
      </c>
      <c r="C155" s="1649"/>
      <c r="D155" s="1649"/>
      <c r="E155" s="1649"/>
      <c r="F155" s="1649"/>
      <c r="G155" s="1649"/>
      <c r="H155" s="1649"/>
      <c r="I155" s="1649"/>
      <c r="J155" s="1650"/>
      <c r="K155" s="1634" t="s">
        <v>53</v>
      </c>
      <c r="L155" s="1634"/>
      <c r="M155" s="1689"/>
      <c r="N155" s="1736"/>
      <c r="O155" s="1736"/>
      <c r="P155" s="1690"/>
      <c r="Q155" s="309"/>
      <c r="R155" s="309"/>
      <c r="S155" s="309"/>
      <c r="T155" s="46"/>
      <c r="U155" s="35" t="str">
        <f>IF(OR(B155="/",B155="No evidence required at this submission stage"),"Yes",IF(K155="Submitted","Yes","No"))</f>
        <v>No</v>
      </c>
    </row>
    <row r="156" spans="1:43" ht="30" customHeight="1" x14ac:dyDescent="0.25">
      <c r="A156" s="309"/>
      <c r="B156" s="1648" t="str">
        <f>Submittals!G90</f>
        <v>• If daylight factor daylight calculations have been made with a daylight modelling software, report indicating modelling software inputs and outputs</v>
      </c>
      <c r="C156" s="1649"/>
      <c r="D156" s="1649"/>
      <c r="E156" s="1649"/>
      <c r="F156" s="1649"/>
      <c r="G156" s="1649"/>
      <c r="H156" s="1649"/>
      <c r="I156" s="1649"/>
      <c r="J156" s="1650"/>
      <c r="K156" s="1634" t="s">
        <v>53</v>
      </c>
      <c r="L156" s="1634"/>
      <c r="M156" s="1689"/>
      <c r="N156" s="1736"/>
      <c r="O156" s="1736"/>
      <c r="P156" s="1736"/>
      <c r="Q156" s="309"/>
      <c r="R156" s="309"/>
      <c r="S156" s="309"/>
      <c r="T156" s="46"/>
      <c r="U156" s="35" t="str">
        <f>IF(OR(B156="/",B156="No evidence required at this submission stage"),"Yes",IF(K156="Submitted","Yes","No"))</f>
        <v>No</v>
      </c>
    </row>
    <row r="157" spans="1:43" s="318" customFormat="1" ht="19.5" customHeight="1" x14ac:dyDescent="0.25">
      <c r="A157" s="309"/>
      <c r="B157" s="309"/>
      <c r="C157" s="309"/>
      <c r="D157" s="309"/>
      <c r="E157" s="309"/>
      <c r="F157" s="309"/>
      <c r="G157" s="309"/>
      <c r="H157" s="309"/>
      <c r="I157" s="309"/>
      <c r="J157" s="309"/>
      <c r="K157" s="309"/>
      <c r="L157" s="309"/>
      <c r="M157" s="309"/>
      <c r="N157" s="309"/>
      <c r="O157" s="309"/>
      <c r="P157" s="309"/>
      <c r="Q157" s="309"/>
      <c r="R157" s="309"/>
      <c r="S157" s="309"/>
      <c r="T157" s="46"/>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row>
    <row r="158" spans="1:43" ht="18" customHeight="1" x14ac:dyDescent="0.25">
      <c r="A158" s="2117" t="s">
        <v>5</v>
      </c>
      <c r="B158" s="2117"/>
      <c r="C158" s="2117"/>
      <c r="D158" s="309"/>
      <c r="E158" s="309"/>
      <c r="F158" s="309"/>
      <c r="G158" s="309"/>
      <c r="H158" s="309"/>
      <c r="I158" s="309"/>
      <c r="J158" s="309"/>
      <c r="K158" s="309"/>
      <c r="L158" s="309"/>
      <c r="M158" s="309"/>
      <c r="N158" s="309"/>
      <c r="O158" s="309"/>
      <c r="P158" s="309"/>
      <c r="Q158" s="309"/>
      <c r="R158" s="309"/>
      <c r="S158" s="309"/>
      <c r="T158" s="46"/>
    </row>
    <row r="159" spans="1:43" ht="15.75" customHeight="1" x14ac:dyDescent="0.25">
      <c r="A159" s="309"/>
      <c r="B159" s="309"/>
      <c r="C159" s="309"/>
      <c r="D159" s="309"/>
      <c r="E159" s="309"/>
      <c r="F159" s="309"/>
      <c r="G159" s="309"/>
      <c r="H159" s="309"/>
      <c r="I159" s="309"/>
      <c r="J159" s="309"/>
      <c r="K159" s="309"/>
      <c r="L159" s="309"/>
      <c r="M159" s="309"/>
      <c r="N159" s="309"/>
      <c r="O159" s="309"/>
      <c r="P159" s="309"/>
      <c r="Q159" s="309"/>
      <c r="R159" s="309"/>
      <c r="S159" s="309"/>
      <c r="T159" s="46"/>
    </row>
    <row r="160" spans="1:43" ht="18" customHeight="1" x14ac:dyDescent="0.25">
      <c r="A160" s="309"/>
      <c r="B160" s="134" t="s">
        <v>16</v>
      </c>
      <c r="C160" s="8">
        <f>IF(E150&gt;=0.8,2,IF(E150&gt;=0.6,1,0))</f>
        <v>0</v>
      </c>
      <c r="D160" s="309"/>
      <c r="E160" s="309"/>
      <c r="F160" s="309"/>
      <c r="G160" s="309"/>
      <c r="H160" s="309"/>
      <c r="I160" s="309"/>
      <c r="J160" s="309"/>
      <c r="K160" s="309"/>
      <c r="L160" s="309"/>
      <c r="M160" s="309"/>
      <c r="N160" s="309"/>
      <c r="O160" s="309"/>
      <c r="P160" s="309"/>
      <c r="Q160" s="309"/>
      <c r="R160" s="309"/>
      <c r="S160" s="309"/>
      <c r="T160" s="46"/>
    </row>
    <row r="161" spans="1:21" ht="18" customHeight="1" x14ac:dyDescent="0.25">
      <c r="A161" s="309"/>
      <c r="B161" s="135" t="s">
        <v>133</v>
      </c>
      <c r="C161" s="8" t="str">
        <f>IF(AND(K155="Submitted",C160&gt;0),"Yes","No")</f>
        <v>No</v>
      </c>
      <c r="D161" s="309"/>
      <c r="E161" s="309"/>
      <c r="F161" s="309"/>
      <c r="G161" s="309"/>
      <c r="H161" s="309"/>
      <c r="I161" s="309"/>
      <c r="J161" s="309"/>
      <c r="K161" s="309"/>
      <c r="L161" s="309"/>
      <c r="M161" s="309"/>
      <c r="N161" s="309"/>
      <c r="O161" s="309"/>
      <c r="P161" s="309"/>
      <c r="Q161" s="309"/>
      <c r="R161" s="309"/>
      <c r="S161" s="309"/>
      <c r="T161" s="46"/>
    </row>
    <row r="162" spans="1:21" ht="18" customHeight="1" x14ac:dyDescent="0.25">
      <c r="A162" s="309"/>
      <c r="B162" s="309"/>
      <c r="C162" s="309"/>
      <c r="D162" s="309"/>
      <c r="E162" s="309"/>
      <c r="F162" s="309"/>
      <c r="G162" s="309"/>
      <c r="H162" s="309"/>
      <c r="I162" s="309"/>
      <c r="J162" s="309"/>
      <c r="K162" s="309"/>
      <c r="L162" s="309"/>
      <c r="M162" s="309"/>
      <c r="N162" s="309"/>
      <c r="O162" s="309"/>
      <c r="P162" s="309"/>
      <c r="Q162" s="309"/>
      <c r="R162" s="309"/>
      <c r="S162" s="309"/>
      <c r="T162" s="46"/>
    </row>
    <row r="163" spans="1:21" hidden="1" x14ac:dyDescent="0.25">
      <c r="A163" s="46"/>
      <c r="B163" s="46"/>
      <c r="C163" s="46"/>
      <c r="D163" s="46"/>
      <c r="E163" s="46"/>
      <c r="F163" s="46"/>
      <c r="G163" s="46"/>
      <c r="H163" s="46"/>
      <c r="I163" s="46"/>
      <c r="J163" s="46"/>
      <c r="K163" s="46"/>
      <c r="L163" s="46"/>
      <c r="M163" s="46"/>
      <c r="N163" s="46"/>
      <c r="O163" s="46"/>
      <c r="P163" s="46"/>
      <c r="Q163" s="46"/>
      <c r="R163" s="46"/>
      <c r="S163" s="46"/>
      <c r="T163" s="46"/>
    </row>
    <row r="164" spans="1:21" hidden="1" x14ac:dyDescent="0.25">
      <c r="A164" s="119"/>
      <c r="B164" s="119"/>
      <c r="C164" s="119"/>
      <c r="D164" s="119"/>
      <c r="E164" s="119"/>
      <c r="F164" s="119"/>
      <c r="G164" s="119"/>
      <c r="H164" s="119"/>
      <c r="I164" s="119"/>
      <c r="J164" s="119"/>
      <c r="K164" s="119"/>
      <c r="L164" s="119"/>
      <c r="M164" s="119"/>
      <c r="N164" s="119"/>
      <c r="O164" s="119"/>
      <c r="P164" s="119"/>
      <c r="Q164" s="119"/>
      <c r="R164" s="119"/>
      <c r="S164" s="119"/>
      <c r="T164" s="119"/>
      <c r="U164" s="119"/>
    </row>
    <row r="165" spans="1:21" ht="15" hidden="1" customHeight="1" x14ac:dyDescent="0.25"/>
    <row r="166" spans="1:21" ht="15" hidden="1" customHeight="1" x14ac:dyDescent="0.25"/>
    <row r="167" spans="1:21" ht="15" hidden="1" customHeight="1" x14ac:dyDescent="0.25"/>
    <row r="168" spans="1:21" ht="15" hidden="1" customHeight="1" x14ac:dyDescent="0.25"/>
    <row r="169" spans="1:21" ht="15" hidden="1" customHeight="1" x14ac:dyDescent="0.25"/>
    <row r="170" spans="1:21" ht="15" hidden="1" customHeight="1" x14ac:dyDescent="0.25"/>
    <row r="171" spans="1:21" ht="15" hidden="1" customHeight="1" x14ac:dyDescent="0.25"/>
    <row r="172" spans="1:21" ht="15" hidden="1" customHeight="1" x14ac:dyDescent="0.25"/>
    <row r="173" spans="1:21" ht="15" hidden="1" customHeight="1" x14ac:dyDescent="0.25"/>
    <row r="174" spans="1:21" ht="15" hidden="1" customHeight="1" x14ac:dyDescent="0.25"/>
    <row r="175" spans="1:21" ht="15" hidden="1" customHeight="1" x14ac:dyDescent="0.25"/>
    <row r="176" spans="1:21"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sheetData>
  <sheetProtection algorithmName="SHA-512" hashValue="CCbISQtkzanN4I8wpKqXP9g0tWreTMYH8GUV8bjbilcPgoBX6s8uYCoRDruf0DBschoU2esAEG0ASv2wmONH9A==" saltValue="BdpVV9XKGD/vpJq7Lw5U3A==" spinCount="100000" sheet="1" objects="1" scenarios="1" formatRows="0"/>
  <mergeCells count="166">
    <mergeCell ref="D84:E84"/>
    <mergeCell ref="F84:H84"/>
    <mergeCell ref="I84:J84"/>
    <mergeCell ref="D85:E85"/>
    <mergeCell ref="F85:H85"/>
    <mergeCell ref="I85:J85"/>
    <mergeCell ref="D81:E81"/>
    <mergeCell ref="F81:H81"/>
    <mergeCell ref="I81:J81"/>
    <mergeCell ref="D82:E82"/>
    <mergeCell ref="F82:H82"/>
    <mergeCell ref="I82:J82"/>
    <mergeCell ref="D83:E83"/>
    <mergeCell ref="F83:H83"/>
    <mergeCell ref="I83:J83"/>
    <mergeCell ref="A152:C152"/>
    <mergeCell ref="A158:C158"/>
    <mergeCell ref="M67:R68"/>
    <mergeCell ref="G38:Q40"/>
    <mergeCell ref="G41:Q42"/>
    <mergeCell ref="G43:Q46"/>
    <mergeCell ref="A30:S30"/>
    <mergeCell ref="A118:C118"/>
    <mergeCell ref="M102:P102"/>
    <mergeCell ref="B103:J103"/>
    <mergeCell ref="K103:L103"/>
    <mergeCell ref="M103:P103"/>
    <mergeCell ref="A105:C105"/>
    <mergeCell ref="B97:D97"/>
    <mergeCell ref="B98:D98"/>
    <mergeCell ref="A100:C100"/>
    <mergeCell ref="B102:J102"/>
    <mergeCell ref="K102:L102"/>
    <mergeCell ref="D94:E94"/>
    <mergeCell ref="F94:H94"/>
    <mergeCell ref="I94:J94"/>
    <mergeCell ref="D95:E95"/>
    <mergeCell ref="F95:H95"/>
    <mergeCell ref="I95:J95"/>
    <mergeCell ref="D92:E92"/>
    <mergeCell ref="F92:H92"/>
    <mergeCell ref="I92:J92"/>
    <mergeCell ref="D93:E93"/>
    <mergeCell ref="F93:H93"/>
    <mergeCell ref="I93:J93"/>
    <mergeCell ref="D90:E90"/>
    <mergeCell ref="F90:H90"/>
    <mergeCell ref="I90:J90"/>
    <mergeCell ref="D91:E91"/>
    <mergeCell ref="F91:H91"/>
    <mergeCell ref="I91:J91"/>
    <mergeCell ref="D88:E88"/>
    <mergeCell ref="F88:H88"/>
    <mergeCell ref="I88:J88"/>
    <mergeCell ref="D89:E89"/>
    <mergeCell ref="F89:H89"/>
    <mergeCell ref="I89:J89"/>
    <mergeCell ref="D86:E86"/>
    <mergeCell ref="F86:H86"/>
    <mergeCell ref="I86:J86"/>
    <mergeCell ref="D87:E87"/>
    <mergeCell ref="F87:H87"/>
    <mergeCell ref="I87:J87"/>
    <mergeCell ref="D79:E79"/>
    <mergeCell ref="F79:H79"/>
    <mergeCell ref="I79:J79"/>
    <mergeCell ref="D80:E80"/>
    <mergeCell ref="F80:H80"/>
    <mergeCell ref="I80:J80"/>
    <mergeCell ref="D77:E77"/>
    <mergeCell ref="F77:H77"/>
    <mergeCell ref="I77:J77"/>
    <mergeCell ref="D78:E78"/>
    <mergeCell ref="F78:H78"/>
    <mergeCell ref="I78:J78"/>
    <mergeCell ref="D75:E75"/>
    <mergeCell ref="F75:H75"/>
    <mergeCell ref="I75:J75"/>
    <mergeCell ref="D76:E76"/>
    <mergeCell ref="F76:H76"/>
    <mergeCell ref="I76:J76"/>
    <mergeCell ref="B57:E57"/>
    <mergeCell ref="B58:E58"/>
    <mergeCell ref="G67:K68"/>
    <mergeCell ref="A69:C69"/>
    <mergeCell ref="B55:E55"/>
    <mergeCell ref="B14:H14"/>
    <mergeCell ref="I14:J14"/>
    <mergeCell ref="K14:L14"/>
    <mergeCell ref="M13:O13"/>
    <mergeCell ref="M14:O14"/>
    <mergeCell ref="B11:D11"/>
    <mergeCell ref="E11:F11"/>
    <mergeCell ref="B13:H13"/>
    <mergeCell ref="I13:J13"/>
    <mergeCell ref="K13:L13"/>
    <mergeCell ref="K17:L17"/>
    <mergeCell ref="A19:R19"/>
    <mergeCell ref="B21:P21"/>
    <mergeCell ref="M154:P154"/>
    <mergeCell ref="M155:P155"/>
    <mergeCell ref="M156:P156"/>
    <mergeCell ref="B156:J156"/>
    <mergeCell ref="K156:L156"/>
    <mergeCell ref="K154:L154"/>
    <mergeCell ref="B154:J154"/>
    <mergeCell ref="B155:J155"/>
    <mergeCell ref="B16:H16"/>
    <mergeCell ref="I16:J16"/>
    <mergeCell ref="O130:P130"/>
    <mergeCell ref="O131:P131"/>
    <mergeCell ref="O128:P128"/>
    <mergeCell ref="O129:P129"/>
    <mergeCell ref="B150:D150"/>
    <mergeCell ref="C126:C127"/>
    <mergeCell ref="D126:D127"/>
    <mergeCell ref="E126:E127"/>
    <mergeCell ref="F126:H126"/>
    <mergeCell ref="I126:I127"/>
    <mergeCell ref="K16:L16"/>
    <mergeCell ref="B124:D124"/>
    <mergeCell ref="E124:G124"/>
    <mergeCell ref="B38:E43"/>
    <mergeCell ref="X126:X127"/>
    <mergeCell ref="R126:R127"/>
    <mergeCell ref="J126:J127"/>
    <mergeCell ref="L126:N126"/>
    <mergeCell ref="Q126:Q127"/>
    <mergeCell ref="O126:P127"/>
    <mergeCell ref="K126:K127"/>
    <mergeCell ref="W126:W127"/>
    <mergeCell ref="O147:P147"/>
    <mergeCell ref="O132:P132"/>
    <mergeCell ref="O144:P144"/>
    <mergeCell ref="O145:P145"/>
    <mergeCell ref="O146:P146"/>
    <mergeCell ref="O143:P143"/>
    <mergeCell ref="O135:P135"/>
    <mergeCell ref="O136:P136"/>
    <mergeCell ref="O137:P137"/>
    <mergeCell ref="O138:P138"/>
    <mergeCell ref="O139:P139"/>
    <mergeCell ref="A1:S1"/>
    <mergeCell ref="A9:S9"/>
    <mergeCell ref="A110:S110"/>
    <mergeCell ref="O133:P133"/>
    <mergeCell ref="O134:P134"/>
    <mergeCell ref="O140:P140"/>
    <mergeCell ref="O141:P141"/>
    <mergeCell ref="O142:P142"/>
    <mergeCell ref="K155:L155"/>
    <mergeCell ref="A5:S7"/>
    <mergeCell ref="B126:B127"/>
    <mergeCell ref="B149:D149"/>
    <mergeCell ref="B114:N116"/>
    <mergeCell ref="M16:O16"/>
    <mergeCell ref="M17:O17"/>
    <mergeCell ref="I17:J17"/>
    <mergeCell ref="B17:H17"/>
    <mergeCell ref="A23:R23"/>
    <mergeCell ref="B25:I25"/>
    <mergeCell ref="B26:I26"/>
    <mergeCell ref="B27:I27"/>
    <mergeCell ref="B28:I28"/>
    <mergeCell ref="A32:C32"/>
    <mergeCell ref="L2:P4"/>
  </mergeCells>
  <conditionalFormatting sqref="O128:P134 O140:P147">
    <cfRule type="expression" dxfId="181" priority="12">
      <formula>$E$124="Spreadsheet calculations"</formula>
    </cfRule>
  </conditionalFormatting>
  <conditionalFormatting sqref="K155:M156">
    <cfRule type="expression" dxfId="180" priority="10">
      <formula>$B155="/"</formula>
    </cfRule>
    <cfRule type="expression" dxfId="179" priority="11">
      <formula>$B155="No evidence required at this submission stage"</formula>
    </cfRule>
  </conditionalFormatting>
  <conditionalFormatting sqref="M102">
    <cfRule type="expression" dxfId="178" priority="9">
      <formula>#REF!&lt;&gt;"Prescriptive Path"</formula>
    </cfRule>
  </conditionalFormatting>
  <conditionalFormatting sqref="K102:L102">
    <cfRule type="expression" dxfId="177" priority="8">
      <formula>#REF!&lt;&gt;"Prescriptive Path"</formula>
    </cfRule>
  </conditionalFormatting>
  <conditionalFormatting sqref="M103">
    <cfRule type="expression" dxfId="176" priority="6">
      <formula>$B103="/"</formula>
    </cfRule>
    <cfRule type="expression" dxfId="175" priority="7">
      <formula>$B103="No evidence required at this submission stage"</formula>
    </cfRule>
  </conditionalFormatting>
  <conditionalFormatting sqref="M154">
    <cfRule type="expression" dxfId="174" priority="3">
      <formula>#REF!&lt;&gt;"Prescriptive Path"</formula>
    </cfRule>
  </conditionalFormatting>
  <conditionalFormatting sqref="K154:L154">
    <cfRule type="expression" dxfId="173" priority="2">
      <formula>#REF!&lt;&gt;"Prescriptive Path"</formula>
    </cfRule>
  </conditionalFormatting>
  <conditionalFormatting sqref="O135:P139">
    <cfRule type="expression" dxfId="172" priority="1">
      <formula>$E$124="Spreadsheet calculations"</formula>
    </cfRule>
  </conditionalFormatting>
  <dataValidations xWindow="730" yWindow="561" count="10">
    <dataValidation allowBlank="1" showInputMessage="1" showErrorMessage="1" prompt="Angle of visible sky from the mid-point of the window [degrees]" sqref="E126:E127" xr:uid="{00000000-0002-0000-2400-000000000000}"/>
    <dataValidation allowBlank="1" showInputMessage="1" showErrorMessage="1" prompt="Maintenance factor. This factor considers the dirt on the exterior surface of the glass and takes into account the location of the building, the use of the room and the slope of the fenestration " sqref="I126:I127" xr:uid="{00000000-0002-0000-2400-000001000000}"/>
    <dataValidation allowBlank="1" showInputMessage="1" showErrorMessage="1" prompt="Visible light transmission (Values of Table in Resources can be used if manufacturer’s data is not available)" sqref="J126:J127" xr:uid="{00000000-0002-0000-2400-000002000000}"/>
    <dataValidation allowBlank="1" showInputMessage="1" showErrorMessage="1" prompt="Reflectance of surrounding room surfaces _x000a_(recommended values in Resources can be used)" sqref="L126:N126" xr:uid="{00000000-0002-0000-2400-000003000000}"/>
    <dataValidation type="list" allowBlank="1" showInputMessage="1" showErrorMessage="1" sqref="E124:G124" xr:uid="{00000000-0002-0000-2400-000004000000}">
      <formula1>"Select,Daylight modelling software, Spreadsheet calculations"</formula1>
    </dataValidation>
    <dataValidation allowBlank="1" showInputMessage="1" showErrorMessage="1" prompt="Are manual shadings provided?" sqref="K126:K127" xr:uid="{00000000-0002-0000-2400-000005000000}"/>
    <dataValidation type="list" allowBlank="1" showInputMessage="1" showErrorMessage="1" sqref="K155:L156 K103:L103" xr:uid="{00000000-0002-0000-2400-000006000000}">
      <formula1>"Select,Submitted,Not submitted"</formula1>
    </dataValidation>
    <dataValidation type="list" allowBlank="1" showInputMessage="1" showErrorMessage="1" sqref="E11" xr:uid="{00000000-0002-0000-2400-000007000000}">
      <formula1>"Select,Prescriptive Path, Performance Path"</formula1>
    </dataValidation>
    <dataValidation allowBlank="1" showInputMessage="1" showErrorMessage="1" prompt="To be compliant, rooms need to have a daylit zone area of more than 50% of their floor area" sqref="I75:J95" xr:uid="{00000000-0002-0000-2400-000008000000}"/>
    <dataValidation type="list" allowBlank="1" showInputMessage="1" showErrorMessage="1" prompt="Are manual shadings provided?" sqref="K128:K147" xr:uid="{00000000-0002-0000-2400-000009000000}">
      <formula1>"Select,Yes,No"</formula1>
    </dataValidation>
  </dataValidations>
  <hyperlinks>
    <hyperlink ref="S3" location="'H&amp;C BPC'!B3" tooltip="H-8" display="H-BPC" xr:uid="{00000000-0004-0000-2400-000000000000}"/>
    <hyperlink ref="Q2" location="'H-1 Fresh Air Supply'!B3" tooltip="H-1" display="H-1" xr:uid="{00000000-0004-0000-2400-000001000000}"/>
    <hyperlink ref="Q4" location="'H-3 Interior Plants'!B3" tooltip="H-3" display="H-3" xr:uid="{00000000-0004-0000-2400-000002000000}"/>
    <hyperlink ref="Q3" location="'H-2 Low-VOC Emissions '!B3" tooltip="H-2" display="H-2" xr:uid="{00000000-0004-0000-2400-000003000000}"/>
    <hyperlink ref="R2" location="'H-4 Green Cleaning'!B3" tooltip="H-4" display="H-4" xr:uid="{00000000-0004-0000-2400-000004000000}"/>
    <hyperlink ref="R3" location="'H-6 External Views'!B3" tooltip="H-6" display="H-6" xr:uid="{00000000-0004-0000-2400-000005000000}"/>
    <hyperlink ref="R4" location="'H-7 Thermal Comfort'!B3" tooltip="H-7" display="H-7" xr:uid="{00000000-0004-0000-2400-000006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rgb="FF943634"/>
  </sheetPr>
  <dimension ref="A1:T310"/>
  <sheetViews>
    <sheetView showGridLines="0" showRowColHeaders="0" workbookViewId="0">
      <pane ySplit="8" topLeftCell="A9" activePane="bottomLeft" state="frozen"/>
      <selection pane="bottomLeft" activeCell="B11" sqref="B11:F11"/>
    </sheetView>
  </sheetViews>
  <sheetFormatPr defaultColWidth="0" defaultRowHeight="15" customHeight="1" zeroHeight="1" x14ac:dyDescent="0.25"/>
  <cols>
    <col min="1" max="1" width="5.7109375" style="35" customWidth="1"/>
    <col min="2" max="2" width="18.7109375" style="35" customWidth="1"/>
    <col min="3" max="4" width="16.7109375" style="35" customWidth="1"/>
    <col min="5" max="5" width="21.28515625" style="35" customWidth="1"/>
    <col min="6" max="6" width="25.28515625" style="35" customWidth="1"/>
    <col min="7" max="7" width="16.85546875" style="35" customWidth="1"/>
    <col min="8" max="9" width="17.7109375" style="35" customWidth="1"/>
    <col min="10" max="10" width="9.7109375" style="35" customWidth="1"/>
    <col min="11" max="12" width="8.7109375" style="35" customWidth="1"/>
    <col min="13" max="16384" width="9.140625" style="35" hidden="1"/>
  </cols>
  <sheetData>
    <row r="1" spans="1:20" ht="25.5" customHeight="1" x14ac:dyDescent="0.25">
      <c r="A1" s="2110" t="s">
        <v>1690</v>
      </c>
      <c r="B1" s="2110"/>
      <c r="C1" s="2110"/>
      <c r="D1" s="2110"/>
      <c r="E1" s="2110"/>
      <c r="F1" s="2110"/>
      <c r="G1" s="2110"/>
      <c r="H1" s="2110"/>
      <c r="I1" s="2110"/>
      <c r="J1" s="2110"/>
      <c r="K1" s="2110"/>
      <c r="L1" s="2110"/>
    </row>
    <row r="2" spans="1:20" ht="15" customHeight="1" x14ac:dyDescent="0.25">
      <c r="A2" s="45"/>
      <c r="B2" s="46"/>
      <c r="C2" s="46"/>
      <c r="D2" s="46"/>
      <c r="E2" s="46"/>
      <c r="F2" s="45"/>
      <c r="G2" s="161"/>
      <c r="H2" s="1753" t="s">
        <v>1264</v>
      </c>
      <c r="I2" s="1753"/>
      <c r="J2" s="588" t="s">
        <v>26</v>
      </c>
      <c r="K2" s="588" t="s">
        <v>33</v>
      </c>
      <c r="L2" s="588"/>
    </row>
    <row r="3" spans="1:20" ht="15" customHeight="1" x14ac:dyDescent="0.25">
      <c r="A3" s="45"/>
      <c r="B3" s="46"/>
      <c r="C3" s="46"/>
      <c r="D3" s="46"/>
      <c r="E3" s="46"/>
      <c r="F3" s="45"/>
      <c r="G3" s="161"/>
      <c r="H3" s="1753"/>
      <c r="I3" s="1753"/>
      <c r="J3" s="588" t="s">
        <v>28</v>
      </c>
      <c r="K3" s="588" t="s">
        <v>205</v>
      </c>
      <c r="L3" s="588" t="s">
        <v>1686</v>
      </c>
    </row>
    <row r="4" spans="1:20" ht="15" customHeight="1" x14ac:dyDescent="0.25">
      <c r="A4" s="45"/>
      <c r="B4" s="46"/>
      <c r="C4" s="46"/>
      <c r="D4" s="46"/>
      <c r="E4" s="46"/>
      <c r="F4" s="45"/>
      <c r="G4" s="162"/>
      <c r="H4" s="1754"/>
      <c r="I4" s="1754"/>
      <c r="J4" s="588" t="s">
        <v>31</v>
      </c>
      <c r="K4" s="588" t="s">
        <v>256</v>
      </c>
      <c r="L4" s="588"/>
    </row>
    <row r="5" spans="1:20" ht="21" customHeight="1" x14ac:dyDescent="0.25">
      <c r="A5" s="1656" t="s">
        <v>2638</v>
      </c>
      <c r="B5" s="1657"/>
      <c r="C5" s="1657"/>
      <c r="D5" s="1657"/>
      <c r="E5" s="1657"/>
      <c r="F5" s="1657"/>
      <c r="G5" s="1657"/>
      <c r="H5" s="1657"/>
      <c r="I5" s="1657"/>
      <c r="J5" s="1657"/>
      <c r="K5" s="1657"/>
      <c r="L5" s="1658"/>
    </row>
    <row r="6" spans="1:20" ht="21" customHeight="1" x14ac:dyDescent="0.25">
      <c r="A6" s="1659"/>
      <c r="B6" s="1660"/>
      <c r="C6" s="1660"/>
      <c r="D6" s="1660"/>
      <c r="E6" s="1660"/>
      <c r="F6" s="1660"/>
      <c r="G6" s="1660"/>
      <c r="H6" s="1660"/>
      <c r="I6" s="1660"/>
      <c r="J6" s="1660"/>
      <c r="K6" s="1660"/>
      <c r="L6" s="1661"/>
    </row>
    <row r="7" spans="1:20" ht="21" customHeight="1" x14ac:dyDescent="0.25">
      <c r="A7" s="1662"/>
      <c r="B7" s="1663"/>
      <c r="C7" s="1663"/>
      <c r="D7" s="1663"/>
      <c r="E7" s="1663"/>
      <c r="F7" s="1663"/>
      <c r="G7" s="1663"/>
      <c r="H7" s="1663"/>
      <c r="I7" s="1663"/>
      <c r="J7" s="1663"/>
      <c r="K7" s="1663"/>
      <c r="L7" s="1664"/>
    </row>
    <row r="8" spans="1:20" ht="12" customHeight="1" x14ac:dyDescent="0.25">
      <c r="A8" s="45"/>
      <c r="B8" s="46"/>
      <c r="C8" s="46"/>
      <c r="D8" s="46"/>
      <c r="E8" s="46"/>
      <c r="F8" s="45"/>
      <c r="G8" s="45"/>
      <c r="H8" s="45"/>
      <c r="I8" s="45"/>
      <c r="J8" s="45"/>
      <c r="K8" s="45"/>
      <c r="L8" s="45"/>
    </row>
    <row r="9" spans="1:20" ht="18" customHeight="1" x14ac:dyDescent="0.25">
      <c r="A9" s="2107" t="s">
        <v>82</v>
      </c>
      <c r="B9" s="2107"/>
      <c r="C9" s="2107"/>
      <c r="D9" s="2107"/>
      <c r="E9" s="2107"/>
      <c r="F9" s="2107"/>
      <c r="G9" s="2107"/>
      <c r="H9" s="2107"/>
      <c r="I9" s="2107"/>
      <c r="J9" s="2107"/>
      <c r="K9" s="2107"/>
      <c r="L9" s="2107"/>
    </row>
    <row r="10" spans="1:20" x14ac:dyDescent="0.25">
      <c r="A10" s="45"/>
      <c r="B10" s="46"/>
      <c r="C10" s="46"/>
      <c r="D10" s="46"/>
      <c r="E10" s="46"/>
      <c r="F10" s="45"/>
      <c r="G10" s="45"/>
      <c r="H10" s="45"/>
      <c r="I10" s="45"/>
      <c r="J10" s="45"/>
      <c r="K10" s="45"/>
      <c r="L10" s="45"/>
    </row>
    <row r="11" spans="1:20" ht="18" customHeight="1" x14ac:dyDescent="0.25">
      <c r="A11" s="45"/>
      <c r="B11" s="2179" t="s">
        <v>83</v>
      </c>
      <c r="C11" s="2232"/>
      <c r="D11" s="2232"/>
      <c r="E11" s="2232"/>
      <c r="F11" s="2232"/>
      <c r="G11" s="542" t="s">
        <v>64</v>
      </c>
      <c r="H11" s="542" t="s">
        <v>16</v>
      </c>
      <c r="I11" s="645" t="s">
        <v>133</v>
      </c>
      <c r="J11" s="45"/>
      <c r="K11" s="45"/>
      <c r="L11" s="45"/>
    </row>
    <row r="12" spans="1:20" ht="41.25" customHeight="1" x14ac:dyDescent="0.25">
      <c r="A12" s="45"/>
      <c r="B12" s="2233" t="s">
        <v>1366</v>
      </c>
      <c r="C12" s="2234" t="s">
        <v>55</v>
      </c>
      <c r="D12" s="2234" t="s">
        <v>55</v>
      </c>
      <c r="E12" s="2234" t="s">
        <v>55</v>
      </c>
      <c r="F12" s="2235">
        <v>3</v>
      </c>
      <c r="G12" s="317">
        <v>2</v>
      </c>
      <c r="H12" s="317">
        <f>C80</f>
        <v>0</v>
      </c>
      <c r="I12" s="646" t="str">
        <f>C81</f>
        <v>No</v>
      </c>
      <c r="J12" s="45"/>
      <c r="K12" s="45"/>
      <c r="L12" s="45"/>
      <c r="M12" s="35" t="str">
        <f>IF(H12&lt;&gt;0,IF(I12="No","No","Yes"),"Yes")</f>
        <v>Yes</v>
      </c>
    </row>
    <row r="13" spans="1:20" ht="30" customHeight="1" x14ac:dyDescent="0.25">
      <c r="A13" s="45"/>
      <c r="B13" s="2166" t="s">
        <v>1365</v>
      </c>
      <c r="C13" s="2166" t="s">
        <v>55</v>
      </c>
      <c r="D13" s="2166" t="s">
        <v>55</v>
      </c>
      <c r="E13" s="2166" t="s">
        <v>55</v>
      </c>
      <c r="F13" s="2166">
        <v>3</v>
      </c>
      <c r="G13" s="317">
        <v>1</v>
      </c>
      <c r="H13" s="317">
        <f>C178</f>
        <v>0</v>
      </c>
      <c r="I13" s="646" t="str">
        <f>C179</f>
        <v>No</v>
      </c>
      <c r="J13" s="45"/>
      <c r="K13" s="45"/>
      <c r="L13" s="45"/>
      <c r="M13" s="35" t="str">
        <f>IF(H13&lt;&gt;0,IF(I13="No","No","Yes"),"Yes")</f>
        <v>Yes</v>
      </c>
    </row>
    <row r="14" spans="1:20" ht="18" customHeight="1" x14ac:dyDescent="0.25">
      <c r="A14" s="45"/>
      <c r="B14" s="2229" t="s">
        <v>25</v>
      </c>
      <c r="C14" s="2230"/>
      <c r="D14" s="2230"/>
      <c r="E14" s="2230"/>
      <c r="F14" s="2231"/>
      <c r="G14" s="498">
        <v>2</v>
      </c>
      <c r="H14" s="498">
        <f>MIN(2,H12+H13)</f>
        <v>0</v>
      </c>
      <c r="I14" s="498" t="str">
        <f>IF(COUNTIF(I12:I13,"No")=2,"No",IF(COUNTIF(M12:M13,"Yes")=2,"Yes","No"))</f>
        <v>No</v>
      </c>
      <c r="J14" s="45"/>
      <c r="K14" s="45"/>
      <c r="L14" s="45"/>
    </row>
    <row r="15" spans="1:20" ht="18" customHeight="1" x14ac:dyDescent="0.25">
      <c r="A15" s="45"/>
      <c r="B15" s="46"/>
      <c r="C15" s="46"/>
      <c r="D15" s="46"/>
      <c r="E15" s="46"/>
      <c r="F15" s="45"/>
      <c r="G15" s="45"/>
      <c r="H15" s="630" t="str">
        <f>IFERROR(IF(H12+H13=3,"→ One EP-1 point can be targeted",""),"")</f>
        <v/>
      </c>
      <c r="I15" s="45"/>
      <c r="J15" s="45"/>
      <c r="K15" s="45"/>
      <c r="L15" s="45"/>
    </row>
    <row r="16" spans="1:20" ht="18" customHeight="1" x14ac:dyDescent="0.25">
      <c r="A16" s="2107" t="s">
        <v>2367</v>
      </c>
      <c r="B16" s="2107"/>
      <c r="C16" s="2107"/>
      <c r="D16" s="2107"/>
      <c r="E16" s="2107"/>
      <c r="F16" s="2107"/>
      <c r="G16" s="2107"/>
      <c r="H16" s="2107"/>
      <c r="I16" s="2107"/>
      <c r="J16" s="2107"/>
      <c r="K16" s="2107"/>
      <c r="L16" s="2107"/>
      <c r="M16" s="43"/>
      <c r="N16" s="43"/>
      <c r="O16" s="43"/>
      <c r="P16" s="43"/>
      <c r="Q16" s="43"/>
      <c r="R16" s="43"/>
      <c r="S16" s="1108"/>
      <c r="T16" s="1108"/>
    </row>
    <row r="17" spans="1:20" ht="13.5" customHeight="1" x14ac:dyDescent="0.25">
      <c r="A17" s="45"/>
      <c r="B17" s="46"/>
      <c r="C17" s="46"/>
      <c r="D17" s="46"/>
      <c r="E17" s="46"/>
      <c r="F17" s="45"/>
      <c r="G17" s="45"/>
      <c r="H17" s="45"/>
      <c r="I17" s="45"/>
      <c r="J17" s="45"/>
      <c r="K17" s="45"/>
      <c r="L17" s="45"/>
      <c r="M17" s="45"/>
      <c r="N17" s="45"/>
      <c r="O17" s="45"/>
      <c r="P17" s="45"/>
      <c r="Q17" s="45"/>
      <c r="R17" s="45"/>
      <c r="S17" s="45"/>
      <c r="T17" s="45"/>
    </row>
    <row r="18" spans="1:20" ht="40.5" customHeight="1" x14ac:dyDescent="0.25">
      <c r="A18" s="45"/>
      <c r="B18" s="2236" t="s">
        <v>2369</v>
      </c>
      <c r="C18" s="2236"/>
      <c r="D18" s="2236"/>
      <c r="E18" s="2236"/>
      <c r="F18" s="2236"/>
      <c r="G18" s="2236"/>
      <c r="H18" s="2236"/>
      <c r="I18" s="2236"/>
      <c r="J18" s="2236"/>
      <c r="K18" s="1266"/>
      <c r="L18" s="1266"/>
      <c r="M18" s="1266"/>
      <c r="N18" s="1266"/>
      <c r="O18" s="1266"/>
      <c r="P18" s="1266"/>
      <c r="Q18" s="46"/>
      <c r="R18" s="45"/>
      <c r="S18" s="45"/>
      <c r="T18" s="45"/>
    </row>
    <row r="19" spans="1:20" ht="14.25" customHeight="1" x14ac:dyDescent="0.25">
      <c r="A19" s="45"/>
      <c r="B19" s="46"/>
      <c r="C19" s="46"/>
      <c r="D19" s="46"/>
      <c r="E19" s="46"/>
      <c r="F19" s="45"/>
      <c r="G19" s="45"/>
      <c r="H19" s="45"/>
      <c r="I19" s="45"/>
      <c r="J19" s="45"/>
      <c r="K19" s="45"/>
      <c r="L19" s="45"/>
      <c r="M19" s="45"/>
      <c r="N19" s="45"/>
      <c r="O19" s="45"/>
      <c r="P19" s="45"/>
      <c r="Q19" s="45"/>
      <c r="R19" s="45"/>
      <c r="S19" s="45"/>
      <c r="T19" s="45"/>
    </row>
    <row r="20" spans="1:20" ht="18" customHeight="1" x14ac:dyDescent="0.25">
      <c r="A20" s="2107" t="s">
        <v>457</v>
      </c>
      <c r="B20" s="2107"/>
      <c r="C20" s="2107"/>
      <c r="D20" s="2107"/>
      <c r="E20" s="2107"/>
      <c r="F20" s="2107"/>
      <c r="G20" s="2107"/>
      <c r="H20" s="2107"/>
      <c r="I20" s="2107"/>
      <c r="J20" s="2107"/>
      <c r="K20" s="2107"/>
      <c r="L20" s="2107"/>
    </row>
    <row r="21" spans="1:20" x14ac:dyDescent="0.25">
      <c r="A21" s="45"/>
      <c r="B21" s="46"/>
      <c r="C21" s="46"/>
      <c r="D21" s="46"/>
      <c r="E21" s="46"/>
      <c r="F21" s="45"/>
      <c r="G21" s="45"/>
      <c r="H21" s="45"/>
      <c r="I21" s="45"/>
      <c r="J21" s="45"/>
      <c r="K21" s="45"/>
      <c r="L21" s="45"/>
    </row>
    <row r="22" spans="1:20" ht="17.25" customHeight="1" x14ac:dyDescent="0.25">
      <c r="A22" s="2117" t="s">
        <v>102</v>
      </c>
      <c r="B22" s="2117"/>
      <c r="C22" s="2117"/>
      <c r="D22" s="46"/>
      <c r="E22" s="46"/>
      <c r="F22" s="46"/>
      <c r="G22" s="46"/>
      <c r="H22" s="46"/>
      <c r="I22" s="46"/>
      <c r="J22" s="46"/>
      <c r="K22" s="46"/>
      <c r="L22" s="46"/>
    </row>
    <row r="23" spans="1:20" x14ac:dyDescent="0.25">
      <c r="A23" s="45"/>
      <c r="B23" s="45"/>
      <c r="C23" s="45"/>
      <c r="D23" s="45"/>
      <c r="E23" s="45"/>
      <c r="F23" s="45"/>
      <c r="G23" s="45"/>
      <c r="H23" s="45"/>
      <c r="I23" s="45"/>
      <c r="J23" s="45"/>
      <c r="K23" s="45"/>
      <c r="L23" s="45"/>
    </row>
    <row r="24" spans="1:20" x14ac:dyDescent="0.25">
      <c r="A24" s="45"/>
      <c r="B24" s="534" t="s">
        <v>814</v>
      </c>
      <c r="C24" s="45"/>
      <c r="D24" s="45"/>
      <c r="E24" s="45"/>
      <c r="F24" s="45"/>
      <c r="G24" s="45"/>
      <c r="H24" s="45"/>
      <c r="I24" s="45"/>
      <c r="J24" s="45"/>
      <c r="K24" s="45"/>
      <c r="L24" s="45"/>
    </row>
    <row r="25" spans="1:20" x14ac:dyDescent="0.25">
      <c r="A25" s="45"/>
      <c r="B25" s="45"/>
      <c r="C25" s="45"/>
      <c r="D25" s="45"/>
      <c r="E25" s="45"/>
      <c r="F25" s="45"/>
      <c r="G25" s="45"/>
      <c r="H25" s="45"/>
      <c r="I25" s="45"/>
      <c r="J25" s="45"/>
      <c r="K25" s="45"/>
      <c r="L25" s="45"/>
    </row>
    <row r="26" spans="1:20" x14ac:dyDescent="0.25">
      <c r="A26" s="45"/>
      <c r="B26" s="469" t="s">
        <v>376</v>
      </c>
      <c r="C26" s="415"/>
      <c r="D26" s="415"/>
      <c r="E26" s="415"/>
      <c r="F26" s="415"/>
      <c r="G26" s="415"/>
      <c r="H26" s="415"/>
      <c r="I26" s="416"/>
      <c r="J26" s="45"/>
      <c r="K26" s="45"/>
      <c r="L26" s="45"/>
    </row>
    <row r="27" spans="1:20" x14ac:dyDescent="0.25">
      <c r="A27" s="45"/>
      <c r="B27" s="2213" t="s">
        <v>377</v>
      </c>
      <c r="C27" s="2214"/>
      <c r="D27" s="2214"/>
      <c r="E27" s="2214"/>
      <c r="F27" s="2214"/>
      <c r="G27" s="2214"/>
      <c r="H27" s="2214"/>
      <c r="I27" s="2215"/>
      <c r="J27" s="45"/>
      <c r="K27" s="45"/>
      <c r="L27" s="45"/>
    </row>
    <row r="28" spans="1:20" x14ac:dyDescent="0.25">
      <c r="A28" s="45"/>
      <c r="B28" s="2213" t="s">
        <v>378</v>
      </c>
      <c r="C28" s="2214"/>
      <c r="D28" s="2214"/>
      <c r="E28" s="2214"/>
      <c r="F28" s="2214"/>
      <c r="G28" s="2214"/>
      <c r="H28" s="2214"/>
      <c r="I28" s="2215"/>
      <c r="J28" s="45"/>
      <c r="K28" s="45"/>
      <c r="L28" s="45"/>
    </row>
    <row r="29" spans="1:20" x14ac:dyDescent="0.25">
      <c r="A29" s="45"/>
      <c r="B29" s="499" t="s">
        <v>379</v>
      </c>
      <c r="C29" s="419"/>
      <c r="D29" s="419"/>
      <c r="E29" s="419"/>
      <c r="F29" s="419"/>
      <c r="G29" s="419"/>
      <c r="H29" s="419"/>
      <c r="I29" s="420"/>
      <c r="J29" s="45"/>
      <c r="K29" s="45"/>
      <c r="L29" s="45"/>
    </row>
    <row r="30" spans="1:20" x14ac:dyDescent="0.25">
      <c r="A30" s="45"/>
      <c r="B30" s="45"/>
      <c r="C30" s="45"/>
      <c r="D30" s="45"/>
      <c r="E30" s="45"/>
      <c r="F30" s="45"/>
      <c r="G30" s="45"/>
      <c r="H30" s="45"/>
      <c r="I30" s="45"/>
      <c r="J30" s="45"/>
      <c r="K30" s="45"/>
      <c r="L30" s="45"/>
    </row>
    <row r="31" spans="1:20" ht="15.75" customHeight="1" x14ac:dyDescent="0.25">
      <c r="A31" s="45"/>
      <c r="B31" s="476" t="s">
        <v>380</v>
      </c>
      <c r="C31" s="415"/>
      <c r="D31" s="415"/>
      <c r="E31" s="415"/>
      <c r="F31" s="415"/>
      <c r="G31" s="415"/>
      <c r="H31" s="415"/>
      <c r="I31" s="416"/>
      <c r="J31" s="45"/>
      <c r="K31" s="45"/>
      <c r="L31" s="45"/>
    </row>
    <row r="32" spans="1:20" ht="15.75" customHeight="1" x14ac:dyDescent="0.25">
      <c r="A32" s="45"/>
      <c r="B32" s="2213" t="s">
        <v>384</v>
      </c>
      <c r="C32" s="2214"/>
      <c r="D32" s="2214"/>
      <c r="E32" s="2214"/>
      <c r="F32" s="2214"/>
      <c r="G32" s="2214"/>
      <c r="H32" s="2214"/>
      <c r="I32" s="2215"/>
      <c r="J32" s="45"/>
      <c r="K32" s="45"/>
      <c r="L32" s="45"/>
    </row>
    <row r="33" spans="1:12" ht="15.75" customHeight="1" x14ac:dyDescent="0.25">
      <c r="A33" s="45"/>
      <c r="B33" s="576" t="s">
        <v>383</v>
      </c>
      <c r="C33" s="419"/>
      <c r="D33" s="419"/>
      <c r="E33" s="419"/>
      <c r="F33" s="419"/>
      <c r="G33" s="419"/>
      <c r="H33" s="419"/>
      <c r="I33" s="420"/>
      <c r="J33" s="45"/>
      <c r="K33" s="45"/>
      <c r="L33" s="45"/>
    </row>
    <row r="34" spans="1:12" ht="16.5" customHeight="1" x14ac:dyDescent="0.25">
      <c r="A34" s="45"/>
      <c r="B34" s="45"/>
      <c r="C34" s="45"/>
      <c r="D34" s="45"/>
      <c r="E34" s="45"/>
      <c r="F34" s="45"/>
      <c r="G34" s="45"/>
      <c r="H34" s="45"/>
      <c r="I34" s="45"/>
      <c r="J34" s="45"/>
      <c r="K34" s="45"/>
      <c r="L34" s="45"/>
    </row>
    <row r="35" spans="1:12" ht="15.75" customHeight="1" x14ac:dyDescent="0.25">
      <c r="A35" s="45"/>
      <c r="B35" s="1238" t="s">
        <v>1340</v>
      </c>
      <c r="C35" s="415"/>
      <c r="D35" s="415"/>
      <c r="E35" s="415"/>
      <c r="F35" s="415"/>
      <c r="G35" s="415"/>
      <c r="H35" s="415"/>
      <c r="I35" s="416"/>
      <c r="J35" s="45"/>
      <c r="K35" s="45"/>
      <c r="L35" s="45"/>
    </row>
    <row r="36" spans="1:12" ht="15.75" customHeight="1" x14ac:dyDescent="0.25">
      <c r="A36" s="45"/>
      <c r="B36" s="2213" t="s">
        <v>1364</v>
      </c>
      <c r="C36" s="2214"/>
      <c r="D36" s="2214"/>
      <c r="E36" s="2214"/>
      <c r="F36" s="2214"/>
      <c r="G36" s="2214"/>
      <c r="H36" s="2214"/>
      <c r="I36" s="2215"/>
      <c r="J36" s="45"/>
      <c r="K36" s="45"/>
      <c r="L36" s="45"/>
    </row>
    <row r="37" spans="1:12" ht="15.75" customHeight="1" x14ac:dyDescent="0.25">
      <c r="A37" s="45"/>
      <c r="B37" s="1246" t="s">
        <v>1363</v>
      </c>
      <c r="C37" s="419"/>
      <c r="D37" s="419"/>
      <c r="E37" s="419"/>
      <c r="F37" s="419"/>
      <c r="G37" s="419"/>
      <c r="H37" s="419"/>
      <c r="I37" s="420"/>
      <c r="J37" s="45"/>
      <c r="K37" s="45"/>
      <c r="L37" s="45"/>
    </row>
    <row r="38" spans="1:12" ht="16.5" customHeight="1" x14ac:dyDescent="0.25">
      <c r="A38" s="45"/>
      <c r="B38" s="45"/>
      <c r="C38" s="45"/>
      <c r="D38" s="45"/>
      <c r="E38" s="45"/>
      <c r="F38" s="45"/>
      <c r="G38" s="45"/>
      <c r="H38" s="45"/>
      <c r="I38" s="45"/>
      <c r="J38" s="45"/>
      <c r="K38" s="45"/>
      <c r="L38" s="45"/>
    </row>
    <row r="39" spans="1:12" ht="17.25" customHeight="1" x14ac:dyDescent="0.25">
      <c r="A39" s="2117" t="s">
        <v>6</v>
      </c>
      <c r="B39" s="2117"/>
      <c r="C39" s="2117"/>
      <c r="D39" s="46"/>
      <c r="E39" s="46"/>
      <c r="F39" s="46"/>
      <c r="G39" s="46"/>
      <c r="H39" s="46"/>
      <c r="I39" s="46"/>
      <c r="J39" s="46"/>
      <c r="K39" s="46"/>
      <c r="L39" s="46"/>
    </row>
    <row r="40" spans="1:12" x14ac:dyDescent="0.25">
      <c r="A40" s="46"/>
      <c r="B40" s="535"/>
      <c r="C40" s="45"/>
      <c r="D40" s="45"/>
      <c r="E40" s="45"/>
      <c r="F40" s="45"/>
      <c r="G40" s="45"/>
      <c r="H40" s="45"/>
      <c r="I40" s="45"/>
      <c r="J40" s="45"/>
      <c r="K40" s="45"/>
      <c r="L40" s="45"/>
    </row>
    <row r="41" spans="1:12" x14ac:dyDescent="0.25">
      <c r="A41" s="46"/>
      <c r="B41" s="535" t="s">
        <v>737</v>
      </c>
      <c r="C41" s="45"/>
      <c r="D41" s="45"/>
      <c r="E41" s="45"/>
      <c r="F41" s="45"/>
      <c r="G41" s="45"/>
      <c r="H41" s="45"/>
      <c r="I41" s="45"/>
      <c r="J41" s="45"/>
      <c r="K41" s="45"/>
      <c r="L41" s="45"/>
    </row>
    <row r="42" spans="1:12" ht="18.75" customHeight="1" x14ac:dyDescent="0.25">
      <c r="A42" s="46"/>
      <c r="B42" s="535"/>
      <c r="C42" s="45"/>
      <c r="D42" s="45"/>
      <c r="E42" s="45"/>
      <c r="F42" s="45"/>
      <c r="G42" s="45"/>
      <c r="H42" s="45"/>
      <c r="I42" s="45"/>
      <c r="J42" s="45"/>
      <c r="K42" s="45"/>
      <c r="L42" s="45"/>
    </row>
    <row r="43" spans="1:12" x14ac:dyDescent="0.25">
      <c r="A43" s="46"/>
      <c r="B43" s="500" t="s">
        <v>1341</v>
      </c>
      <c r="C43" s="45"/>
      <c r="D43" s="45"/>
      <c r="E43" s="45"/>
      <c r="F43" s="45"/>
      <c r="G43" s="45"/>
      <c r="H43" s="45"/>
      <c r="I43" s="45"/>
      <c r="J43" s="45"/>
      <c r="K43" s="45"/>
      <c r="L43" s="45"/>
    </row>
    <row r="44" spans="1:12" ht="13.5" customHeight="1" x14ac:dyDescent="0.25">
      <c r="A44" s="46"/>
      <c r="B44" s="535"/>
      <c r="C44" s="45"/>
      <c r="D44" s="45"/>
      <c r="E44" s="45"/>
      <c r="F44" s="45"/>
      <c r="G44" s="45"/>
      <c r="H44" s="45"/>
      <c r="I44" s="45"/>
      <c r="J44" s="45"/>
      <c r="K44" s="45"/>
      <c r="L44" s="45"/>
    </row>
    <row r="45" spans="1:12" ht="15" customHeight="1" x14ac:dyDescent="0.25">
      <c r="A45" s="46"/>
      <c r="B45" s="2157" t="s">
        <v>375</v>
      </c>
      <c r="C45" s="2171" t="s">
        <v>942</v>
      </c>
      <c r="D45" s="2171" t="s">
        <v>943</v>
      </c>
      <c r="E45" s="2171" t="s">
        <v>944</v>
      </c>
      <c r="F45" s="45"/>
      <c r="G45" s="46"/>
      <c r="H45" s="45"/>
      <c r="I45" s="45"/>
      <c r="J45" s="45"/>
      <c r="K45" s="45"/>
      <c r="L45" s="45"/>
    </row>
    <row r="46" spans="1:12" x14ac:dyDescent="0.25">
      <c r="A46" s="46"/>
      <c r="B46" s="2158"/>
      <c r="C46" s="2172"/>
      <c r="D46" s="2172"/>
      <c r="E46" s="2172"/>
      <c r="F46" s="45"/>
      <c r="G46" s="46"/>
      <c r="H46" s="45"/>
      <c r="I46" s="45"/>
      <c r="J46" s="45"/>
      <c r="K46" s="45"/>
      <c r="L46" s="45"/>
    </row>
    <row r="47" spans="1:12" x14ac:dyDescent="0.25">
      <c r="A47" s="46"/>
      <c r="B47" s="228"/>
      <c r="C47" s="228"/>
      <c r="D47" s="228"/>
      <c r="E47" s="656">
        <f>IFERROR(IF(D47&gt;=0.75*C47,C47,D47),"")</f>
        <v>0</v>
      </c>
      <c r="F47" s="45"/>
      <c r="G47" s="46"/>
      <c r="H47" s="45"/>
      <c r="I47" s="45"/>
      <c r="J47" s="45"/>
      <c r="K47" s="45"/>
      <c r="L47" s="45"/>
    </row>
    <row r="48" spans="1:12" x14ac:dyDescent="0.25">
      <c r="A48" s="46"/>
      <c r="B48" s="774"/>
      <c r="C48" s="774"/>
      <c r="D48" s="774"/>
      <c r="E48" s="656">
        <f t="shared" ref="E48:E66" si="0">IFERROR(IF(D48&gt;=0.75*C48,C48,D48),"")</f>
        <v>0</v>
      </c>
      <c r="F48" s="45"/>
      <c r="G48" s="46"/>
      <c r="H48" s="45"/>
      <c r="I48" s="45"/>
      <c r="J48" s="45"/>
      <c r="K48" s="45"/>
      <c r="L48" s="45"/>
    </row>
    <row r="49" spans="1:12" x14ac:dyDescent="0.25">
      <c r="A49" s="46"/>
      <c r="B49" s="774"/>
      <c r="C49" s="774"/>
      <c r="D49" s="774"/>
      <c r="E49" s="656">
        <f t="shared" si="0"/>
        <v>0</v>
      </c>
      <c r="F49" s="45"/>
      <c r="G49" s="46"/>
      <c r="H49" s="45"/>
      <c r="I49" s="45"/>
      <c r="J49" s="45"/>
      <c r="K49" s="45"/>
      <c r="L49" s="45"/>
    </row>
    <row r="50" spans="1:12" x14ac:dyDescent="0.25">
      <c r="A50" s="46"/>
      <c r="B50" s="774"/>
      <c r="C50" s="774"/>
      <c r="D50" s="774"/>
      <c r="E50" s="656">
        <f t="shared" ref="E50:E57" si="1">IFERROR(IF(D50&gt;=0.75*C50,C50,D50),"")</f>
        <v>0</v>
      </c>
      <c r="F50" s="45"/>
      <c r="G50" s="46"/>
      <c r="H50" s="45"/>
      <c r="I50" s="45"/>
      <c r="J50" s="45"/>
      <c r="K50" s="45"/>
      <c r="L50" s="45"/>
    </row>
    <row r="51" spans="1:12" x14ac:dyDescent="0.25">
      <c r="A51" s="46"/>
      <c r="B51" s="774"/>
      <c r="C51" s="774"/>
      <c r="D51" s="774"/>
      <c r="E51" s="656">
        <f t="shared" si="1"/>
        <v>0</v>
      </c>
      <c r="F51" s="45"/>
      <c r="G51" s="46"/>
      <c r="H51" s="45"/>
      <c r="I51" s="45"/>
      <c r="J51" s="45"/>
      <c r="K51" s="45"/>
      <c r="L51" s="45"/>
    </row>
    <row r="52" spans="1:12" x14ac:dyDescent="0.25">
      <c r="A52" s="46"/>
      <c r="B52" s="774"/>
      <c r="C52" s="774"/>
      <c r="D52" s="774"/>
      <c r="E52" s="656">
        <f t="shared" si="1"/>
        <v>0</v>
      </c>
      <c r="F52" s="45"/>
      <c r="G52" s="46"/>
      <c r="H52" s="45"/>
      <c r="I52" s="45"/>
      <c r="J52" s="45"/>
      <c r="K52" s="45"/>
      <c r="L52" s="45"/>
    </row>
    <row r="53" spans="1:12" x14ac:dyDescent="0.25">
      <c r="A53" s="46"/>
      <c r="B53" s="1190"/>
      <c r="C53" s="1190"/>
      <c r="D53" s="1190"/>
      <c r="E53" s="1193">
        <f t="shared" si="1"/>
        <v>0</v>
      </c>
      <c r="F53" s="45"/>
      <c r="G53" s="46"/>
      <c r="H53" s="45"/>
      <c r="I53" s="45"/>
      <c r="J53" s="45"/>
      <c r="K53" s="45"/>
      <c r="L53" s="45"/>
    </row>
    <row r="54" spans="1:12" x14ac:dyDescent="0.25">
      <c r="A54" s="46"/>
      <c r="B54" s="1190"/>
      <c r="C54" s="1190"/>
      <c r="D54" s="1190"/>
      <c r="E54" s="1193">
        <f t="shared" si="1"/>
        <v>0</v>
      </c>
      <c r="F54" s="45"/>
      <c r="G54" s="46"/>
      <c r="H54" s="45"/>
      <c r="I54" s="45"/>
      <c r="J54" s="45"/>
      <c r="K54" s="45"/>
      <c r="L54" s="45"/>
    </row>
    <row r="55" spans="1:12" x14ac:dyDescent="0.25">
      <c r="A55" s="46"/>
      <c r="B55" s="1190"/>
      <c r="C55" s="1190"/>
      <c r="D55" s="1190"/>
      <c r="E55" s="1193">
        <f t="shared" si="1"/>
        <v>0</v>
      </c>
      <c r="F55" s="45"/>
      <c r="G55" s="46"/>
      <c r="H55" s="45"/>
      <c r="I55" s="45"/>
      <c r="J55" s="45"/>
      <c r="K55" s="45"/>
      <c r="L55" s="45"/>
    </row>
    <row r="56" spans="1:12" x14ac:dyDescent="0.25">
      <c r="A56" s="46"/>
      <c r="B56" s="1190"/>
      <c r="C56" s="1190"/>
      <c r="D56" s="1190"/>
      <c r="E56" s="1193">
        <f t="shared" si="1"/>
        <v>0</v>
      </c>
      <c r="F56" s="45"/>
      <c r="G56" s="46"/>
      <c r="H56" s="45"/>
      <c r="I56" s="45"/>
      <c r="J56" s="45"/>
      <c r="K56" s="45"/>
      <c r="L56" s="45"/>
    </row>
    <row r="57" spans="1:12" x14ac:dyDescent="0.25">
      <c r="A57" s="46"/>
      <c r="B57" s="1190"/>
      <c r="C57" s="1190"/>
      <c r="D57" s="1190"/>
      <c r="E57" s="1193">
        <f t="shared" si="1"/>
        <v>0</v>
      </c>
      <c r="F57" s="45"/>
      <c r="G57" s="46"/>
      <c r="H57" s="45"/>
      <c r="I57" s="45"/>
      <c r="J57" s="45"/>
      <c r="K57" s="45"/>
      <c r="L57" s="45"/>
    </row>
    <row r="58" spans="1:12" x14ac:dyDescent="0.25">
      <c r="A58" s="46"/>
      <c r="B58" s="774"/>
      <c r="C58" s="774"/>
      <c r="D58" s="774"/>
      <c r="E58" s="656">
        <f t="shared" ref="E58:E63" si="2">IFERROR(IF(D58&gt;=0.75*C58,C58,D58),"")</f>
        <v>0</v>
      </c>
      <c r="F58" s="45"/>
      <c r="G58" s="46"/>
      <c r="H58" s="45"/>
      <c r="I58" s="45"/>
      <c r="J58" s="45"/>
      <c r="K58" s="45"/>
      <c r="L58" s="45"/>
    </row>
    <row r="59" spans="1:12" x14ac:dyDescent="0.25">
      <c r="A59" s="46"/>
      <c r="B59" s="774"/>
      <c r="C59" s="774"/>
      <c r="D59" s="774"/>
      <c r="E59" s="656">
        <f t="shared" si="2"/>
        <v>0</v>
      </c>
      <c r="F59" s="45"/>
      <c r="G59" s="46"/>
      <c r="H59" s="45"/>
      <c r="I59" s="45"/>
      <c r="J59" s="45"/>
      <c r="K59" s="45"/>
      <c r="L59" s="45"/>
    </row>
    <row r="60" spans="1:12" x14ac:dyDescent="0.25">
      <c r="A60" s="46"/>
      <c r="B60" s="774"/>
      <c r="C60" s="774"/>
      <c r="D60" s="774"/>
      <c r="E60" s="656">
        <f t="shared" si="2"/>
        <v>0</v>
      </c>
      <c r="F60" s="45"/>
      <c r="G60" s="46"/>
      <c r="H60" s="45"/>
      <c r="I60" s="45"/>
      <c r="J60" s="45"/>
      <c r="K60" s="45"/>
      <c r="L60" s="45"/>
    </row>
    <row r="61" spans="1:12" x14ac:dyDescent="0.25">
      <c r="A61" s="46"/>
      <c r="B61" s="774"/>
      <c r="C61" s="774"/>
      <c r="D61" s="774"/>
      <c r="E61" s="656">
        <f t="shared" si="2"/>
        <v>0</v>
      </c>
      <c r="F61" s="45"/>
      <c r="G61" s="46"/>
      <c r="H61" s="45"/>
      <c r="I61" s="45"/>
      <c r="J61" s="45"/>
      <c r="K61" s="45"/>
      <c r="L61" s="45"/>
    </row>
    <row r="62" spans="1:12" x14ac:dyDescent="0.25">
      <c r="A62" s="46"/>
      <c r="B62" s="774"/>
      <c r="C62" s="774"/>
      <c r="D62" s="774"/>
      <c r="E62" s="656">
        <f t="shared" si="2"/>
        <v>0</v>
      </c>
      <c r="F62" s="45"/>
      <c r="G62" s="46"/>
      <c r="H62" s="45"/>
      <c r="I62" s="45"/>
      <c r="J62" s="45"/>
      <c r="K62" s="45"/>
      <c r="L62" s="45"/>
    </row>
    <row r="63" spans="1:12" x14ac:dyDescent="0.25">
      <c r="A63" s="46"/>
      <c r="B63" s="774"/>
      <c r="C63" s="774"/>
      <c r="D63" s="774"/>
      <c r="E63" s="656">
        <f t="shared" si="2"/>
        <v>0</v>
      </c>
      <c r="F63" s="45"/>
      <c r="G63" s="46"/>
      <c r="H63" s="45"/>
      <c r="I63" s="45"/>
      <c r="J63" s="45"/>
      <c r="K63" s="45"/>
      <c r="L63" s="45"/>
    </row>
    <row r="64" spans="1:12" x14ac:dyDescent="0.25">
      <c r="A64" s="46"/>
      <c r="B64" s="774"/>
      <c r="C64" s="774"/>
      <c r="D64" s="774"/>
      <c r="E64" s="656">
        <f t="shared" si="0"/>
        <v>0</v>
      </c>
      <c r="F64" s="45"/>
      <c r="G64" s="46"/>
      <c r="H64" s="45"/>
      <c r="I64" s="45"/>
      <c r="J64" s="45"/>
      <c r="K64" s="45"/>
      <c r="L64" s="45"/>
    </row>
    <row r="65" spans="1:15" x14ac:dyDescent="0.25">
      <c r="A65" s="46"/>
      <c r="B65" s="774"/>
      <c r="C65" s="774"/>
      <c r="D65" s="774"/>
      <c r="E65" s="656">
        <f t="shared" si="0"/>
        <v>0</v>
      </c>
      <c r="F65" s="45"/>
      <c r="G65" s="46"/>
      <c r="H65" s="45"/>
      <c r="I65" s="45"/>
      <c r="J65" s="45"/>
      <c r="K65" s="45"/>
      <c r="L65" s="45"/>
    </row>
    <row r="66" spans="1:15" x14ac:dyDescent="0.25">
      <c r="A66" s="46"/>
      <c r="B66" s="774"/>
      <c r="C66" s="774"/>
      <c r="D66" s="774"/>
      <c r="E66" s="656">
        <f t="shared" si="0"/>
        <v>0</v>
      </c>
      <c r="F66" s="45"/>
      <c r="G66" s="46"/>
      <c r="H66" s="45"/>
      <c r="I66" s="45"/>
      <c r="J66" s="45"/>
      <c r="K66" s="45"/>
      <c r="L66" s="45"/>
    </row>
    <row r="67" spans="1:15" ht="16.5" customHeight="1" x14ac:dyDescent="0.25">
      <c r="A67" s="46"/>
      <c r="B67" s="46"/>
      <c r="C67" s="46"/>
      <c r="D67" s="46"/>
      <c r="E67" s="46"/>
      <c r="F67" s="46"/>
      <c r="G67" s="46"/>
      <c r="H67" s="46"/>
      <c r="I67" s="46"/>
      <c r="J67" s="46"/>
      <c r="K67" s="46"/>
      <c r="L67" s="46"/>
    </row>
    <row r="68" spans="1:15" ht="19.5" customHeight="1" x14ac:dyDescent="0.25">
      <c r="A68" s="46"/>
      <c r="B68" s="2124" t="s">
        <v>945</v>
      </c>
      <c r="C68" s="2126"/>
      <c r="D68" s="160">
        <f>SUM(E47:E66)</f>
        <v>0</v>
      </c>
      <c r="E68" s="46"/>
      <c r="F68" s="46"/>
      <c r="G68" s="46"/>
      <c r="H68" s="46"/>
      <c r="I68" s="46"/>
      <c r="J68" s="46"/>
      <c r="K68" s="46"/>
      <c r="L68" s="46"/>
    </row>
    <row r="69" spans="1:15" ht="19.5" customHeight="1" x14ac:dyDescent="0.25">
      <c r="A69" s="46"/>
      <c r="B69" s="2124" t="s">
        <v>172</v>
      </c>
      <c r="C69" s="2126"/>
      <c r="D69" s="66">
        <f>IFERROR(D68/SUM(C47:C66),0)</f>
        <v>0</v>
      </c>
      <c r="E69" s="630" t="str">
        <f>IFERROR(IF(D69=1,"→ One EP-1 point can be targeted",""),"")</f>
        <v/>
      </c>
      <c r="F69" s="46"/>
      <c r="G69" s="46"/>
      <c r="H69" s="46"/>
      <c r="I69" s="46"/>
      <c r="J69" s="46"/>
      <c r="K69" s="46"/>
      <c r="L69" s="46"/>
    </row>
    <row r="70" spans="1:15" ht="19.5" customHeight="1" x14ac:dyDescent="0.25">
      <c r="A70" s="46"/>
      <c r="B70" s="46"/>
      <c r="C70" s="46"/>
      <c r="D70" s="46"/>
      <c r="E70" s="46"/>
      <c r="F70" s="46"/>
      <c r="G70" s="46"/>
      <c r="H70" s="46"/>
      <c r="I70" s="46"/>
      <c r="J70" s="46"/>
      <c r="K70" s="46"/>
      <c r="L70" s="46"/>
    </row>
    <row r="71" spans="1:15" ht="17.25" customHeight="1" x14ac:dyDescent="0.25">
      <c r="A71" s="2117" t="s">
        <v>84</v>
      </c>
      <c r="B71" s="2117"/>
      <c r="C71" s="2117"/>
      <c r="D71" s="46"/>
      <c r="E71" s="46"/>
      <c r="F71" s="46"/>
      <c r="G71" s="46"/>
      <c r="H71" s="46"/>
      <c r="I71" s="46"/>
      <c r="J71" s="46"/>
      <c r="K71" s="46"/>
      <c r="L71" s="46"/>
    </row>
    <row r="72" spans="1:15" ht="15" customHeight="1" x14ac:dyDescent="0.25">
      <c r="A72" s="46"/>
      <c r="B72" s="46"/>
      <c r="C72" s="46"/>
      <c r="D72" s="46"/>
      <c r="E72" s="46"/>
      <c r="F72" s="46"/>
      <c r="G72" s="46"/>
      <c r="H72" s="46"/>
      <c r="I72" s="46"/>
      <c r="J72" s="46"/>
      <c r="K72" s="46"/>
      <c r="L72" s="46"/>
    </row>
    <row r="73" spans="1:15" ht="18" customHeight="1" x14ac:dyDescent="0.25">
      <c r="A73" s="46"/>
      <c r="B73" s="2104" t="s">
        <v>85</v>
      </c>
      <c r="C73" s="2105"/>
      <c r="D73" s="2105"/>
      <c r="E73" s="2105"/>
      <c r="F73" s="2105"/>
      <c r="G73" s="239" t="s">
        <v>907</v>
      </c>
      <c r="H73" s="2106" t="s">
        <v>908</v>
      </c>
      <c r="I73" s="2174"/>
      <c r="J73" s="46"/>
      <c r="K73" s="46"/>
      <c r="L73" s="46"/>
    </row>
    <row r="74" spans="1:15" ht="24" customHeight="1" x14ac:dyDescent="0.25">
      <c r="A74" s="46"/>
      <c r="B74" s="1648" t="str">
        <f>Submittals!G91</f>
        <v>• Floor plans showing all areas with direct lines of sight</v>
      </c>
      <c r="C74" s="1649"/>
      <c r="D74" s="1649"/>
      <c r="E74" s="1649"/>
      <c r="F74" s="1649"/>
      <c r="G74" s="775" t="s">
        <v>53</v>
      </c>
      <c r="H74" s="1689"/>
      <c r="I74" s="1690"/>
      <c r="J74" s="46"/>
      <c r="K74" s="46"/>
      <c r="L74" s="46"/>
      <c r="M74" s="35" t="str">
        <f>IF(OR(B74="/",B74="No evidence required at this submission stage"),"Yes",IF(G74="Submitted","Yes","No"))</f>
        <v>No</v>
      </c>
    </row>
    <row r="75" spans="1:15" ht="24" customHeight="1" x14ac:dyDescent="0.25">
      <c r="A75" s="46"/>
      <c r="B75" s="1648" t="str">
        <f>Submittals!G92</f>
        <v xml:space="preserve">• Sections and elevations showing the height and location of external views and the height of internal partitions </v>
      </c>
      <c r="C75" s="1649"/>
      <c r="D75" s="1649"/>
      <c r="E75" s="1649"/>
      <c r="F75" s="1649"/>
      <c r="G75" s="1150" t="s">
        <v>53</v>
      </c>
      <c r="H75" s="1689"/>
      <c r="I75" s="1690"/>
      <c r="J75" s="46"/>
      <c r="K75" s="46"/>
      <c r="L75" s="46"/>
      <c r="M75" s="35" t="str">
        <f>IF(OR(B75="/",B75="No evidence required at this submission stage"),"Yes",IF(G75="Submitted","Yes","No"))</f>
        <v>No</v>
      </c>
    </row>
    <row r="76" spans="1:15" ht="24" customHeight="1" x14ac:dyDescent="0.25">
      <c r="A76" s="46"/>
      <c r="B76" s="1648" t="str">
        <f>Submittals!G93</f>
        <v>• Photographs showing the external views</v>
      </c>
      <c r="C76" s="1649"/>
      <c r="D76" s="1649"/>
      <c r="E76" s="1649"/>
      <c r="F76" s="1649"/>
      <c r="G76" s="1150" t="s">
        <v>53</v>
      </c>
      <c r="H76" s="1689"/>
      <c r="I76" s="1690"/>
      <c r="J76" s="46"/>
      <c r="K76" s="46"/>
      <c r="L76" s="46"/>
      <c r="M76" s="35" t="str">
        <f>IF(OR(B76="/",B76="No evidence required at this submission stage"),"Yes",IF(G76="Submitted","Yes","No"))</f>
        <v>No</v>
      </c>
    </row>
    <row r="77" spans="1:15" s="318" customFormat="1" ht="19.5" customHeight="1" x14ac:dyDescent="0.25">
      <c r="A77" s="46"/>
      <c r="B77" s="46"/>
      <c r="C77" s="46"/>
      <c r="D77" s="46"/>
      <c r="E77" s="46"/>
      <c r="F77" s="46"/>
      <c r="G77" s="46"/>
      <c r="H77" s="46"/>
      <c r="I77" s="46"/>
      <c r="J77" s="46"/>
      <c r="K77" s="46"/>
      <c r="L77" s="46"/>
      <c r="M77" s="46"/>
      <c r="N77" s="46"/>
    </row>
    <row r="78" spans="1:15" ht="17.25" customHeight="1" x14ac:dyDescent="0.25">
      <c r="A78" s="2117" t="s">
        <v>5</v>
      </c>
      <c r="B78" s="2117"/>
      <c r="C78" s="2117"/>
      <c r="D78" s="46"/>
      <c r="E78" s="46"/>
      <c r="F78" s="46"/>
      <c r="G78" s="46"/>
      <c r="H78" s="46"/>
      <c r="I78" s="46"/>
      <c r="J78" s="46"/>
      <c r="K78" s="46"/>
      <c r="L78" s="46"/>
      <c r="M78"/>
      <c r="N78"/>
      <c r="O78"/>
    </row>
    <row r="79" spans="1:15" x14ac:dyDescent="0.25">
      <c r="A79" s="46"/>
      <c r="B79" s="46"/>
      <c r="C79" s="46"/>
      <c r="D79" s="46"/>
      <c r="E79" s="46"/>
      <c r="F79" s="46"/>
      <c r="G79" s="46"/>
      <c r="H79" s="46"/>
      <c r="I79" s="46"/>
      <c r="J79" s="46"/>
      <c r="K79" s="46"/>
      <c r="L79" s="46"/>
      <c r="M79"/>
      <c r="N79"/>
      <c r="O79"/>
    </row>
    <row r="80" spans="1:15" ht="18" customHeight="1" x14ac:dyDescent="0.25">
      <c r="A80" s="46"/>
      <c r="B80" s="134" t="s">
        <v>16</v>
      </c>
      <c r="C80" s="8">
        <f>IF(D69&gt;=0.8,2,IF(D69&gt;=0.6,1,0))</f>
        <v>0</v>
      </c>
      <c r="D80" s="46"/>
      <c r="E80" s="46"/>
      <c r="F80" s="46"/>
      <c r="G80" s="46"/>
      <c r="H80" s="46"/>
      <c r="I80" s="46"/>
      <c r="J80" s="46"/>
      <c r="K80" s="46"/>
      <c r="L80" s="46"/>
      <c r="M80"/>
      <c r="N80"/>
      <c r="O80"/>
    </row>
    <row r="81" spans="1:15" ht="18" customHeight="1" x14ac:dyDescent="0.25">
      <c r="A81" s="46"/>
      <c r="B81" s="135" t="s">
        <v>133</v>
      </c>
      <c r="C81" s="8" t="str">
        <f>IF(AND(COUNTIF(M74:M76,"Yes")=3,C80&gt;0),"Yes","No")</f>
        <v>No</v>
      </c>
      <c r="D81" s="46"/>
      <c r="E81" s="46"/>
      <c r="F81" s="46"/>
      <c r="G81" s="46"/>
      <c r="H81" s="46"/>
      <c r="I81" s="46"/>
      <c r="J81" s="46"/>
      <c r="K81" s="46"/>
      <c r="L81" s="46"/>
      <c r="M81"/>
      <c r="N81"/>
      <c r="O81"/>
    </row>
    <row r="82" spans="1:15" ht="21" customHeight="1" x14ac:dyDescent="0.25">
      <c r="A82" s="46"/>
      <c r="B82" s="46"/>
      <c r="C82" s="46"/>
      <c r="D82" s="46"/>
      <c r="E82" s="46"/>
      <c r="F82" s="46"/>
      <c r="G82" s="46"/>
      <c r="H82" s="46"/>
      <c r="I82" s="46"/>
      <c r="J82" s="46"/>
      <c r="K82" s="46"/>
      <c r="L82" s="46"/>
      <c r="M82"/>
      <c r="N82"/>
      <c r="O82"/>
    </row>
    <row r="83" spans="1:15" ht="18" customHeight="1" x14ac:dyDescent="0.25">
      <c r="A83" s="2107" t="s">
        <v>458</v>
      </c>
      <c r="B83" s="2107"/>
      <c r="C83" s="2107"/>
      <c r="D83" s="2107"/>
      <c r="E83" s="2107"/>
      <c r="F83" s="2107"/>
      <c r="G83" s="2107"/>
      <c r="H83" s="2107"/>
      <c r="I83" s="2107"/>
      <c r="J83" s="2107"/>
      <c r="K83" s="2107"/>
      <c r="L83" s="2107"/>
      <c r="M83"/>
      <c r="N83"/>
      <c r="O83"/>
    </row>
    <row r="84" spans="1:15" x14ac:dyDescent="0.25">
      <c r="A84" s="45"/>
      <c r="B84" s="46"/>
      <c r="C84" s="46"/>
      <c r="D84" s="46"/>
      <c r="E84" s="46"/>
      <c r="F84" s="45"/>
      <c r="G84" s="45"/>
      <c r="H84" s="45"/>
      <c r="I84" s="45"/>
      <c r="J84" s="45"/>
      <c r="K84" s="45"/>
      <c r="L84" s="45"/>
      <c r="M84"/>
      <c r="N84"/>
      <c r="O84"/>
    </row>
    <row r="85" spans="1:15" ht="17.25" customHeight="1" x14ac:dyDescent="0.25">
      <c r="A85" s="2117" t="s">
        <v>102</v>
      </c>
      <c r="B85" s="2117"/>
      <c r="C85" s="2117"/>
      <c r="D85" s="46"/>
      <c r="E85" s="46"/>
      <c r="F85" s="46"/>
      <c r="G85" s="46"/>
      <c r="H85" s="46"/>
      <c r="I85" s="46"/>
      <c r="J85" s="46"/>
      <c r="K85" s="46"/>
      <c r="L85" s="46"/>
      <c r="M85"/>
      <c r="N85"/>
      <c r="O85"/>
    </row>
    <row r="86" spans="1:15" x14ac:dyDescent="0.25">
      <c r="A86" s="46"/>
      <c r="B86" s="46"/>
      <c r="C86" s="46"/>
      <c r="D86" s="46"/>
      <c r="E86" s="46"/>
      <c r="F86" s="46"/>
      <c r="G86" s="46"/>
      <c r="H86" s="46"/>
      <c r="I86" s="46"/>
      <c r="J86" s="46"/>
      <c r="K86" s="46"/>
      <c r="L86" s="46"/>
      <c r="M86"/>
      <c r="N86"/>
      <c r="O86"/>
    </row>
    <row r="87" spans="1:15" x14ac:dyDescent="0.25">
      <c r="A87" s="46"/>
      <c r="B87" s="534" t="s">
        <v>569</v>
      </c>
      <c r="C87" s="46"/>
      <c r="D87" s="46"/>
      <c r="E87" s="46"/>
      <c r="F87" s="46"/>
      <c r="G87" s="46"/>
      <c r="H87" s="46"/>
      <c r="I87" s="46"/>
      <c r="J87" s="46"/>
      <c r="K87" s="46"/>
      <c r="L87" s="46"/>
      <c r="M87"/>
      <c r="N87"/>
      <c r="O87"/>
    </row>
    <row r="88" spans="1:15" x14ac:dyDescent="0.25">
      <c r="A88" s="46"/>
      <c r="B88" s="46"/>
      <c r="C88" s="46"/>
      <c r="D88" s="46"/>
      <c r="E88" s="46"/>
      <c r="F88" s="46"/>
      <c r="G88" s="46"/>
      <c r="H88" s="46"/>
      <c r="I88" s="46"/>
      <c r="J88" s="46"/>
      <c r="K88" s="46"/>
      <c r="L88" s="46"/>
      <c r="M88"/>
      <c r="N88"/>
      <c r="O88"/>
    </row>
    <row r="89" spans="1:15" ht="26.25" customHeight="1" x14ac:dyDescent="0.25">
      <c r="A89" s="46"/>
      <c r="B89" s="2222" t="s">
        <v>2370</v>
      </c>
      <c r="C89" s="2223"/>
      <c r="D89" s="2223"/>
      <c r="E89" s="2223"/>
      <c r="F89" s="2223"/>
      <c r="G89" s="2223"/>
      <c r="H89" s="2224"/>
      <c r="I89" s="46"/>
      <c r="J89" s="46"/>
      <c r="K89" s="46"/>
      <c r="L89" s="46"/>
      <c r="M89"/>
      <c r="N89"/>
      <c r="O89"/>
    </row>
    <row r="90" spans="1:15" x14ac:dyDescent="0.25">
      <c r="A90" s="46"/>
      <c r="B90" s="2213" t="s">
        <v>1333</v>
      </c>
      <c r="C90" s="2214"/>
      <c r="D90" s="2214"/>
      <c r="E90" s="2214"/>
      <c r="F90" s="2214"/>
      <c r="G90" s="2214"/>
      <c r="H90" s="2215"/>
      <c r="I90" s="46"/>
      <c r="J90" s="46"/>
      <c r="K90" s="46"/>
      <c r="L90" s="46"/>
      <c r="M90"/>
      <c r="N90"/>
      <c r="O90"/>
    </row>
    <row r="91" spans="1:15" x14ac:dyDescent="0.25">
      <c r="A91" s="46"/>
      <c r="B91" s="2213" t="s">
        <v>1334</v>
      </c>
      <c r="C91" s="2214"/>
      <c r="D91" s="2214"/>
      <c r="E91" s="2214"/>
      <c r="F91" s="2214"/>
      <c r="G91" s="2214"/>
      <c r="H91" s="2215"/>
      <c r="I91" s="46"/>
      <c r="J91" s="46"/>
      <c r="K91" s="46"/>
      <c r="L91" s="46"/>
      <c r="M91"/>
      <c r="N91"/>
    </row>
    <row r="92" spans="1:15" x14ac:dyDescent="0.25">
      <c r="A92" s="46"/>
      <c r="B92" s="2213" t="s">
        <v>1335</v>
      </c>
      <c r="C92" s="2214"/>
      <c r="D92" s="2214"/>
      <c r="E92" s="2214"/>
      <c r="F92" s="2214"/>
      <c r="G92" s="2214"/>
      <c r="H92" s="2215"/>
      <c r="I92" s="46"/>
      <c r="J92" s="46"/>
      <c r="K92" s="46"/>
      <c r="L92" s="46"/>
      <c r="M92"/>
      <c r="N92"/>
    </row>
    <row r="93" spans="1:15" x14ac:dyDescent="0.25">
      <c r="A93" s="46"/>
      <c r="B93" s="2226" t="s">
        <v>1337</v>
      </c>
      <c r="C93" s="2227"/>
      <c r="D93" s="2227"/>
      <c r="E93" s="2227"/>
      <c r="F93" s="2227"/>
      <c r="G93" s="2227"/>
      <c r="H93" s="2228"/>
      <c r="I93" s="46"/>
      <c r="J93" s="46"/>
      <c r="K93" s="46"/>
      <c r="L93" s="46"/>
      <c r="M93"/>
      <c r="N93"/>
    </row>
    <row r="94" spans="1:15" ht="15.75" customHeight="1" x14ac:dyDescent="0.25">
      <c r="A94" s="46"/>
      <c r="B94" s="46"/>
      <c r="C94" s="46"/>
      <c r="D94" s="46"/>
      <c r="E94" s="46"/>
      <c r="F94" s="46"/>
      <c r="G94" s="46"/>
      <c r="H94" s="46"/>
      <c r="I94" s="46"/>
      <c r="J94" s="46"/>
      <c r="K94" s="46"/>
      <c r="L94" s="46"/>
      <c r="M94"/>
      <c r="N94"/>
    </row>
    <row r="95" spans="1:15" ht="17.25" customHeight="1" x14ac:dyDescent="0.25">
      <c r="A95" s="2117" t="s">
        <v>6</v>
      </c>
      <c r="B95" s="2117"/>
      <c r="C95" s="2117"/>
      <c r="D95" s="46"/>
      <c r="E95" s="46"/>
      <c r="F95" s="46"/>
      <c r="G95" s="46"/>
      <c r="H95" s="46"/>
      <c r="I95" s="46"/>
      <c r="J95" s="46"/>
      <c r="K95" s="46"/>
      <c r="L95" s="46"/>
      <c r="M95"/>
      <c r="N95"/>
    </row>
    <row r="96" spans="1:15" x14ac:dyDescent="0.25">
      <c r="A96" s="46"/>
      <c r="B96" s="46"/>
      <c r="C96" s="45"/>
      <c r="D96" s="45"/>
      <c r="E96" s="46"/>
      <c r="F96" s="46"/>
      <c r="G96" s="46"/>
      <c r="H96" s="46"/>
      <c r="I96" s="46"/>
      <c r="J96" s="46"/>
      <c r="K96" s="46"/>
      <c r="L96" s="46"/>
      <c r="M96"/>
      <c r="N96"/>
    </row>
    <row r="97" spans="1:14" ht="15" customHeight="1" x14ac:dyDescent="0.25">
      <c r="A97" s="46"/>
      <c r="B97" s="535" t="s">
        <v>737</v>
      </c>
      <c r="C97" s="45"/>
      <c r="D97" s="45"/>
      <c r="E97" s="46"/>
      <c r="F97" s="46"/>
      <c r="G97" s="46"/>
      <c r="H97" s="46"/>
      <c r="I97" s="46"/>
      <c r="J97" s="46"/>
      <c r="K97" s="46"/>
      <c r="L97" s="46"/>
      <c r="M97"/>
      <c r="N97"/>
    </row>
    <row r="98" spans="1:14" ht="16.5" customHeight="1" x14ac:dyDescent="0.25">
      <c r="A98" s="46"/>
      <c r="B98" s="46"/>
      <c r="C98" s="45"/>
      <c r="D98" s="45"/>
      <c r="E98" s="46"/>
      <c r="F98" s="46"/>
      <c r="G98" s="46"/>
      <c r="H98" s="46"/>
      <c r="I98" s="46"/>
      <c r="J98" s="46"/>
      <c r="K98" s="46"/>
      <c r="L98" s="46"/>
      <c r="M98"/>
      <c r="N98"/>
    </row>
    <row r="99" spans="1:14" ht="19.5" customHeight="1" x14ac:dyDescent="0.25">
      <c r="A99" s="46"/>
      <c r="B99" s="2225" t="s">
        <v>1462</v>
      </c>
      <c r="C99" s="2225"/>
      <c r="D99" s="2225"/>
      <c r="E99" s="2225"/>
      <c r="F99" s="2225"/>
      <c r="G99" s="2225"/>
      <c r="H99" s="2225"/>
      <c r="I99" s="2225"/>
      <c r="J99" s="2225"/>
      <c r="K99" s="2225"/>
      <c r="L99" s="46"/>
      <c r="M99"/>
      <c r="N99"/>
    </row>
    <row r="100" spans="1:14" ht="19.5" customHeight="1" x14ac:dyDescent="0.25">
      <c r="A100" s="46"/>
      <c r="B100" s="2225"/>
      <c r="C100" s="2225"/>
      <c r="D100" s="2225"/>
      <c r="E100" s="2225"/>
      <c r="F100" s="2225"/>
      <c r="G100" s="2225"/>
      <c r="H100" s="2225"/>
      <c r="I100" s="2225"/>
      <c r="J100" s="2225"/>
      <c r="K100" s="2225"/>
      <c r="L100" s="46"/>
      <c r="M100"/>
      <c r="N100"/>
    </row>
    <row r="101" spans="1:14" ht="12" customHeight="1" x14ac:dyDescent="0.25">
      <c r="A101" s="46"/>
      <c r="B101" s="46"/>
      <c r="C101" s="45"/>
      <c r="D101" s="45"/>
      <c r="E101" s="46"/>
      <c r="F101" s="46"/>
      <c r="G101" s="46"/>
      <c r="H101" s="46"/>
      <c r="I101" s="46"/>
      <c r="J101" s="46"/>
      <c r="K101" s="46"/>
      <c r="L101" s="46"/>
      <c r="M101"/>
      <c r="N101"/>
    </row>
    <row r="102" spans="1:14" x14ac:dyDescent="0.25">
      <c r="A102" s="46"/>
      <c r="B102" s="500" t="s">
        <v>1342</v>
      </c>
      <c r="C102" s="45"/>
      <c r="D102" s="45"/>
      <c r="E102" s="46"/>
      <c r="F102" s="46"/>
      <c r="G102" s="46"/>
      <c r="H102" s="46"/>
      <c r="I102" s="46"/>
      <c r="J102" s="46"/>
      <c r="K102" s="46"/>
      <c r="L102" s="46"/>
      <c r="M102"/>
      <c r="N102"/>
    </row>
    <row r="103" spans="1:14" ht="12" customHeight="1" x14ac:dyDescent="0.25">
      <c r="A103" s="46"/>
      <c r="B103" s="46"/>
      <c r="C103" s="45"/>
      <c r="D103" s="45"/>
      <c r="E103" s="46"/>
      <c r="F103" s="46"/>
      <c r="G103" s="46"/>
      <c r="H103" s="46"/>
      <c r="I103" s="46"/>
      <c r="J103" s="451"/>
      <c r="K103" s="451"/>
      <c r="L103" s="46"/>
      <c r="M103"/>
      <c r="N103"/>
    </row>
    <row r="104" spans="1:14" ht="15" customHeight="1" x14ac:dyDescent="0.25">
      <c r="A104" s="46"/>
      <c r="B104" s="2157" t="s">
        <v>517</v>
      </c>
      <c r="C104" s="2171" t="s">
        <v>942</v>
      </c>
      <c r="D104" s="2171" t="s">
        <v>1336</v>
      </c>
      <c r="E104" s="2171" t="s">
        <v>2371</v>
      </c>
      <c r="F104" s="2171" t="s">
        <v>1338</v>
      </c>
      <c r="G104" s="2171" t="s">
        <v>1339</v>
      </c>
      <c r="H104" s="2171"/>
      <c r="I104" s="2171" t="s">
        <v>1332</v>
      </c>
      <c r="J104" s="2237" t="s">
        <v>944</v>
      </c>
      <c r="K104" s="2237"/>
      <c r="L104" s="46"/>
      <c r="M104" s="46"/>
      <c r="N104"/>
    </row>
    <row r="105" spans="1:14" ht="15" customHeight="1" x14ac:dyDescent="0.25">
      <c r="A105" s="46"/>
      <c r="B105" s="2158"/>
      <c r="C105" s="2172"/>
      <c r="D105" s="2172"/>
      <c r="E105" s="2172"/>
      <c r="F105" s="2172"/>
      <c r="G105" s="2172"/>
      <c r="H105" s="2172"/>
      <c r="I105" s="2172"/>
      <c r="J105" s="2237"/>
      <c r="K105" s="2237"/>
      <c r="L105" s="532"/>
      <c r="M105" s="46"/>
      <c r="N105"/>
    </row>
    <row r="106" spans="1:14" x14ac:dyDescent="0.25">
      <c r="A106" s="46"/>
      <c r="B106" s="2219"/>
      <c r="C106" s="2219"/>
      <c r="D106" s="228"/>
      <c r="E106" s="1227"/>
      <c r="F106" s="228" t="s">
        <v>53</v>
      </c>
      <c r="G106" s="1704" t="s">
        <v>53</v>
      </c>
      <c r="H106" s="1705"/>
      <c r="I106" s="2216">
        <f>IF(AND(F106&lt;&gt;"Select",F106&lt;&gt;G106,G106&lt;&gt;"Select",G106&lt;&gt;"",F106&lt;&gt;"",E106&lt;=8),D106,0)+IF(AND(F107&lt;&gt;"Select",F107&lt;&gt;G107,G107&lt;&gt;"Select",G107&lt;&gt;"",F107&lt;&gt;"",E107&lt;=8),D107,0)+IF(AND(F108&lt;&gt;"Select",F108&lt;&gt;G108,G108&lt;&gt;"Select",G108&lt;&gt;"",F108&lt;&gt;"",E108&lt;=8),D108,0)</f>
        <v>0</v>
      </c>
      <c r="J106" s="2207">
        <f>IFERROR(IF(I106&gt;=0.75*C106,C106,I106),"")</f>
        <v>0</v>
      </c>
      <c r="K106" s="2208"/>
      <c r="L106" s="46"/>
      <c r="M106" s="46"/>
      <c r="N106"/>
    </row>
    <row r="107" spans="1:14" x14ac:dyDescent="0.25">
      <c r="A107" s="46"/>
      <c r="B107" s="2220"/>
      <c r="C107" s="2220"/>
      <c r="D107" s="228"/>
      <c r="E107" s="1227"/>
      <c r="F107" s="228" t="s">
        <v>53</v>
      </c>
      <c r="G107" s="1704" t="s">
        <v>53</v>
      </c>
      <c r="H107" s="1705"/>
      <c r="I107" s="2217"/>
      <c r="J107" s="2209"/>
      <c r="K107" s="2210"/>
      <c r="L107" s="46"/>
      <c r="M107" s="46"/>
      <c r="N107"/>
    </row>
    <row r="108" spans="1:14" x14ac:dyDescent="0.25">
      <c r="A108" s="46"/>
      <c r="B108" s="2221"/>
      <c r="C108" s="2221"/>
      <c r="D108" s="774"/>
      <c r="E108" s="1227"/>
      <c r="F108" s="228" t="s">
        <v>53</v>
      </c>
      <c r="G108" s="1704" t="s">
        <v>53</v>
      </c>
      <c r="H108" s="1705"/>
      <c r="I108" s="2218"/>
      <c r="J108" s="2211"/>
      <c r="K108" s="2212"/>
      <c r="L108" s="46"/>
      <c r="M108" s="46"/>
      <c r="N108"/>
    </row>
    <row r="109" spans="1:14" x14ac:dyDescent="0.25">
      <c r="A109" s="46"/>
      <c r="B109" s="2219"/>
      <c r="C109" s="2219"/>
      <c r="D109" s="228"/>
      <c r="E109" s="1227"/>
      <c r="F109" s="228" t="s">
        <v>53</v>
      </c>
      <c r="G109" s="1704" t="s">
        <v>53</v>
      </c>
      <c r="H109" s="1705"/>
      <c r="I109" s="2216">
        <f t="shared" ref="I109" si="3">IF(AND(F109&lt;&gt;"Select",F109&lt;&gt;G109,G109&lt;&gt;"Select",G109&lt;&gt;"",F109&lt;&gt;"",E109&lt;=8),D109,0)+IF(AND(F110&lt;&gt;"Select",F110&lt;&gt;G110,G110&lt;&gt;"Select",G110&lt;&gt;"",F110&lt;&gt;"",E110&lt;=8),D110,0)+IF(AND(F111&lt;&gt;"Select",F111&lt;&gt;G111,G111&lt;&gt;"Select",G111&lt;&gt;"",F111&lt;&gt;"",E111&lt;=8),D111,0)</f>
        <v>0</v>
      </c>
      <c r="J109" s="2207">
        <f t="shared" ref="J109" si="4">IFERROR(IF(I109&gt;=0.75*C109,C109,I109),"")</f>
        <v>0</v>
      </c>
      <c r="K109" s="2208"/>
      <c r="L109" s="46"/>
      <c r="M109" s="46"/>
      <c r="N109"/>
    </row>
    <row r="110" spans="1:14" x14ac:dyDescent="0.25">
      <c r="A110" s="46"/>
      <c r="B110" s="2220"/>
      <c r="C110" s="2220"/>
      <c r="D110" s="228"/>
      <c r="E110" s="1227"/>
      <c r="F110" s="228" t="s">
        <v>53</v>
      </c>
      <c r="G110" s="1704" t="s">
        <v>53</v>
      </c>
      <c r="H110" s="1705"/>
      <c r="I110" s="2217"/>
      <c r="J110" s="2209"/>
      <c r="K110" s="2210"/>
      <c r="L110" s="46"/>
      <c r="M110" s="46"/>
      <c r="N110"/>
    </row>
    <row r="111" spans="1:14" x14ac:dyDescent="0.25">
      <c r="A111" s="46"/>
      <c r="B111" s="2221"/>
      <c r="C111" s="2221"/>
      <c r="D111" s="774"/>
      <c r="E111" s="1227"/>
      <c r="F111" s="228" t="s">
        <v>53</v>
      </c>
      <c r="G111" s="1704" t="s">
        <v>53</v>
      </c>
      <c r="H111" s="1705"/>
      <c r="I111" s="2218"/>
      <c r="J111" s="2211"/>
      <c r="K111" s="2212"/>
      <c r="L111" s="46"/>
      <c r="M111" s="46"/>
      <c r="N111"/>
    </row>
    <row r="112" spans="1:14" x14ac:dyDescent="0.25">
      <c r="A112" s="46"/>
      <c r="B112" s="2219"/>
      <c r="C112" s="2219"/>
      <c r="D112" s="828"/>
      <c r="E112" s="1227"/>
      <c r="F112" s="828" t="s">
        <v>53</v>
      </c>
      <c r="G112" s="1704" t="s">
        <v>53</v>
      </c>
      <c r="H112" s="1705"/>
      <c r="I112" s="2216">
        <f t="shared" ref="I112" si="5">IF(AND(F112&lt;&gt;"Select",F112&lt;&gt;G112,G112&lt;&gt;"Select",G112&lt;&gt;"",F112&lt;&gt;"",E112&lt;=8),D112,0)+IF(AND(F113&lt;&gt;"Select",F113&lt;&gt;G113,G113&lt;&gt;"Select",G113&lt;&gt;"",F113&lt;&gt;"",E113&lt;=8),D113,0)+IF(AND(F114&lt;&gt;"Select",F114&lt;&gt;G114,G114&lt;&gt;"Select",G114&lt;&gt;"",F114&lt;&gt;"",E114&lt;=8),D114,0)</f>
        <v>0</v>
      </c>
      <c r="J112" s="2207">
        <f t="shared" ref="J112" si="6">IFERROR(IF(I112&gt;=0.75*C112,C112,I112),"")</f>
        <v>0</v>
      </c>
      <c r="K112" s="2208"/>
      <c r="L112" s="46"/>
      <c r="M112" s="46"/>
      <c r="N112"/>
    </row>
    <row r="113" spans="1:14" x14ac:dyDescent="0.25">
      <c r="A113" s="46"/>
      <c r="B113" s="2220"/>
      <c r="C113" s="2220"/>
      <c r="D113" s="828"/>
      <c r="E113" s="1227"/>
      <c r="F113" s="828" t="s">
        <v>53</v>
      </c>
      <c r="G113" s="1704" t="s">
        <v>53</v>
      </c>
      <c r="H113" s="1705"/>
      <c r="I113" s="2217"/>
      <c r="J113" s="2209"/>
      <c r="K113" s="2210"/>
      <c r="L113" s="46"/>
      <c r="M113" s="46"/>
      <c r="N113"/>
    </row>
    <row r="114" spans="1:14" x14ac:dyDescent="0.25">
      <c r="A114" s="46"/>
      <c r="B114" s="2221"/>
      <c r="C114" s="2221"/>
      <c r="D114" s="826"/>
      <c r="E114" s="1227"/>
      <c r="F114" s="828" t="s">
        <v>53</v>
      </c>
      <c r="G114" s="1704" t="s">
        <v>53</v>
      </c>
      <c r="H114" s="1705"/>
      <c r="I114" s="2218"/>
      <c r="J114" s="2211"/>
      <c r="K114" s="2212"/>
      <c r="L114" s="46"/>
      <c r="M114" s="46"/>
      <c r="N114"/>
    </row>
    <row r="115" spans="1:14" x14ac:dyDescent="0.25">
      <c r="A115" s="46"/>
      <c r="B115" s="2219"/>
      <c r="C115" s="2219"/>
      <c r="D115" s="828"/>
      <c r="E115" s="1227"/>
      <c r="F115" s="828" t="s">
        <v>53</v>
      </c>
      <c r="G115" s="1704" t="s">
        <v>53</v>
      </c>
      <c r="H115" s="1705"/>
      <c r="I115" s="2216">
        <f t="shared" ref="I115" si="7">IF(AND(F115&lt;&gt;"Select",F115&lt;&gt;G115,G115&lt;&gt;"Select",G115&lt;&gt;"",F115&lt;&gt;"",E115&lt;=8),D115,0)+IF(AND(F116&lt;&gt;"Select",F116&lt;&gt;G116,G116&lt;&gt;"Select",G116&lt;&gt;"",F116&lt;&gt;"",E116&lt;=8),D116,0)+IF(AND(F117&lt;&gt;"Select",F117&lt;&gt;G117,G117&lt;&gt;"Select",G117&lt;&gt;"",F117&lt;&gt;"",E117&lt;=8),D117,0)</f>
        <v>0</v>
      </c>
      <c r="J115" s="2207">
        <f t="shared" ref="J115" si="8">IFERROR(IF(I115&gt;=0.75*C115,C115,I115),"")</f>
        <v>0</v>
      </c>
      <c r="K115" s="2208"/>
      <c r="L115" s="46"/>
      <c r="M115" s="46"/>
      <c r="N115"/>
    </row>
    <row r="116" spans="1:14" x14ac:dyDescent="0.25">
      <c r="A116" s="46"/>
      <c r="B116" s="2220"/>
      <c r="C116" s="2220"/>
      <c r="D116" s="828"/>
      <c r="E116" s="1227"/>
      <c r="F116" s="828" t="s">
        <v>53</v>
      </c>
      <c r="G116" s="1704" t="s">
        <v>53</v>
      </c>
      <c r="H116" s="1705"/>
      <c r="I116" s="2217"/>
      <c r="J116" s="2209"/>
      <c r="K116" s="2210"/>
      <c r="L116" s="46"/>
      <c r="M116" s="46"/>
      <c r="N116"/>
    </row>
    <row r="117" spans="1:14" x14ac:dyDescent="0.25">
      <c r="A117" s="46"/>
      <c r="B117" s="2221"/>
      <c r="C117" s="2221"/>
      <c r="D117" s="826"/>
      <c r="E117" s="1227"/>
      <c r="F117" s="828" t="s">
        <v>53</v>
      </c>
      <c r="G117" s="1704" t="s">
        <v>53</v>
      </c>
      <c r="H117" s="1705"/>
      <c r="I117" s="2218"/>
      <c r="J117" s="2211"/>
      <c r="K117" s="2212"/>
      <c r="L117" s="46"/>
      <c r="M117" s="46"/>
      <c r="N117"/>
    </row>
    <row r="118" spans="1:14" x14ac:dyDescent="0.25">
      <c r="A118" s="46"/>
      <c r="B118" s="2219"/>
      <c r="C118" s="2219"/>
      <c r="D118" s="828"/>
      <c r="E118" s="1227"/>
      <c r="F118" s="828" t="s">
        <v>53</v>
      </c>
      <c r="G118" s="1704" t="s">
        <v>53</v>
      </c>
      <c r="H118" s="1705"/>
      <c r="I118" s="2216">
        <f t="shared" ref="I118" si="9">IF(AND(F118&lt;&gt;"Select",F118&lt;&gt;G118,G118&lt;&gt;"Select",G118&lt;&gt;"",F118&lt;&gt;"",E118&lt;=8),D118,0)+IF(AND(F119&lt;&gt;"Select",F119&lt;&gt;G119,G119&lt;&gt;"Select",G119&lt;&gt;"",F119&lt;&gt;"",E119&lt;=8),D119,0)+IF(AND(F120&lt;&gt;"Select",F120&lt;&gt;G120,G120&lt;&gt;"Select",G120&lt;&gt;"",F120&lt;&gt;"",E120&lt;=8),D120,0)</f>
        <v>0</v>
      </c>
      <c r="J118" s="2207">
        <f t="shared" ref="J118" si="10">IFERROR(IF(I118&gt;=0.75*C118,C118,I118),"")</f>
        <v>0</v>
      </c>
      <c r="K118" s="2208"/>
      <c r="L118" s="46"/>
      <c r="M118" s="46"/>
      <c r="N118"/>
    </row>
    <row r="119" spans="1:14" x14ac:dyDescent="0.25">
      <c r="A119" s="46"/>
      <c r="B119" s="2220"/>
      <c r="C119" s="2220"/>
      <c r="D119" s="828"/>
      <c r="E119" s="1227"/>
      <c r="F119" s="828" t="s">
        <v>53</v>
      </c>
      <c r="G119" s="1704" t="s">
        <v>53</v>
      </c>
      <c r="H119" s="1705"/>
      <c r="I119" s="2217"/>
      <c r="J119" s="2209"/>
      <c r="K119" s="2210"/>
      <c r="L119" s="46"/>
      <c r="M119" s="46"/>
      <c r="N119"/>
    </row>
    <row r="120" spans="1:14" x14ac:dyDescent="0.25">
      <c r="A120" s="46"/>
      <c r="B120" s="2221"/>
      <c r="C120" s="2221"/>
      <c r="D120" s="826"/>
      <c r="E120" s="1227"/>
      <c r="F120" s="828" t="s">
        <v>53</v>
      </c>
      <c r="G120" s="1704" t="s">
        <v>53</v>
      </c>
      <c r="H120" s="1705"/>
      <c r="I120" s="2218"/>
      <c r="J120" s="2211"/>
      <c r="K120" s="2212"/>
      <c r="L120" s="46"/>
      <c r="M120" s="46"/>
      <c r="N120"/>
    </row>
    <row r="121" spans="1:14" x14ac:dyDescent="0.25">
      <c r="A121" s="46"/>
      <c r="B121" s="2219"/>
      <c r="C121" s="2219"/>
      <c r="D121" s="828"/>
      <c r="E121" s="1227"/>
      <c r="F121" s="828" t="s">
        <v>53</v>
      </c>
      <c r="G121" s="1704" t="s">
        <v>53</v>
      </c>
      <c r="H121" s="1705"/>
      <c r="I121" s="2216">
        <f t="shared" ref="I121" si="11">IF(AND(F121&lt;&gt;"Select",F121&lt;&gt;G121,G121&lt;&gt;"Select",G121&lt;&gt;"",F121&lt;&gt;"",E121&lt;=8),D121,0)+IF(AND(F122&lt;&gt;"Select",F122&lt;&gt;G122,G122&lt;&gt;"Select",G122&lt;&gt;"",F122&lt;&gt;"",E122&lt;=8),D122,0)+IF(AND(F123&lt;&gt;"Select",F123&lt;&gt;G123,G123&lt;&gt;"Select",G123&lt;&gt;"",F123&lt;&gt;"",E123&lt;=8),D123,0)</f>
        <v>0</v>
      </c>
      <c r="J121" s="2207">
        <f t="shared" ref="J121" si="12">IFERROR(IF(I121&gt;=0.75*C121,C121,I121),"")</f>
        <v>0</v>
      </c>
      <c r="K121" s="2208"/>
      <c r="L121" s="46"/>
      <c r="M121" s="46"/>
      <c r="N121"/>
    </row>
    <row r="122" spans="1:14" x14ac:dyDescent="0.25">
      <c r="A122" s="46"/>
      <c r="B122" s="2220"/>
      <c r="C122" s="2220"/>
      <c r="D122" s="828"/>
      <c r="E122" s="1227"/>
      <c r="F122" s="828" t="s">
        <v>53</v>
      </c>
      <c r="G122" s="1704" t="s">
        <v>53</v>
      </c>
      <c r="H122" s="1705"/>
      <c r="I122" s="2217"/>
      <c r="J122" s="2209"/>
      <c r="K122" s="2210"/>
      <c r="L122" s="46"/>
      <c r="M122" s="46"/>
      <c r="N122"/>
    </row>
    <row r="123" spans="1:14" x14ac:dyDescent="0.25">
      <c r="A123" s="46"/>
      <c r="B123" s="2221"/>
      <c r="C123" s="2221"/>
      <c r="D123" s="826"/>
      <c r="E123" s="1227"/>
      <c r="F123" s="828" t="s">
        <v>53</v>
      </c>
      <c r="G123" s="1704" t="s">
        <v>53</v>
      </c>
      <c r="H123" s="1705"/>
      <c r="I123" s="2218"/>
      <c r="J123" s="2211"/>
      <c r="K123" s="2212"/>
      <c r="L123" s="46"/>
      <c r="M123" s="46"/>
      <c r="N123"/>
    </row>
    <row r="124" spans="1:14" x14ac:dyDescent="0.25">
      <c r="A124" s="46"/>
      <c r="B124" s="2219"/>
      <c r="C124" s="2219"/>
      <c r="D124" s="828"/>
      <c r="E124" s="1227"/>
      <c r="F124" s="828" t="s">
        <v>53</v>
      </c>
      <c r="G124" s="1704" t="s">
        <v>53</v>
      </c>
      <c r="H124" s="1705"/>
      <c r="I124" s="2216">
        <f t="shared" ref="I124" si="13">IF(AND(F124&lt;&gt;"Select",F124&lt;&gt;G124,G124&lt;&gt;"Select",G124&lt;&gt;"",F124&lt;&gt;"",E124&lt;=8),D124,0)+IF(AND(F125&lt;&gt;"Select",F125&lt;&gt;G125,G125&lt;&gt;"Select",G125&lt;&gt;"",F125&lt;&gt;"",E125&lt;=8),D125,0)+IF(AND(F126&lt;&gt;"Select",F126&lt;&gt;G126,G126&lt;&gt;"Select",G126&lt;&gt;"",F126&lt;&gt;"",E126&lt;=8),D126,0)</f>
        <v>0</v>
      </c>
      <c r="J124" s="2207">
        <f t="shared" ref="J124" si="14">IFERROR(IF(I124&gt;=0.75*C124,C124,I124),"")</f>
        <v>0</v>
      </c>
      <c r="K124" s="2208"/>
      <c r="L124" s="46"/>
      <c r="M124" s="46"/>
      <c r="N124"/>
    </row>
    <row r="125" spans="1:14" x14ac:dyDescent="0.25">
      <c r="A125" s="46"/>
      <c r="B125" s="2220"/>
      <c r="C125" s="2220"/>
      <c r="D125" s="828"/>
      <c r="E125" s="1227"/>
      <c r="F125" s="828" t="s">
        <v>53</v>
      </c>
      <c r="G125" s="1704" t="s">
        <v>53</v>
      </c>
      <c r="H125" s="1705"/>
      <c r="I125" s="2217"/>
      <c r="J125" s="2209"/>
      <c r="K125" s="2210"/>
      <c r="L125" s="46"/>
      <c r="M125" s="46"/>
      <c r="N125"/>
    </row>
    <row r="126" spans="1:14" x14ac:dyDescent="0.25">
      <c r="A126" s="46"/>
      <c r="B126" s="2221"/>
      <c r="C126" s="2221"/>
      <c r="D126" s="826"/>
      <c r="E126" s="1227"/>
      <c r="F126" s="828" t="s">
        <v>53</v>
      </c>
      <c r="G126" s="1704" t="s">
        <v>53</v>
      </c>
      <c r="H126" s="1705"/>
      <c r="I126" s="2218"/>
      <c r="J126" s="2211"/>
      <c r="K126" s="2212"/>
      <c r="L126" s="46"/>
      <c r="M126" s="46"/>
      <c r="N126"/>
    </row>
    <row r="127" spans="1:14" x14ac:dyDescent="0.25">
      <c r="A127" s="46"/>
      <c r="B127" s="2219"/>
      <c r="C127" s="2219"/>
      <c r="D127" s="1192"/>
      <c r="E127" s="1227"/>
      <c r="F127" s="1192" t="s">
        <v>53</v>
      </c>
      <c r="G127" s="1704" t="s">
        <v>53</v>
      </c>
      <c r="H127" s="1705"/>
      <c r="I127" s="2216">
        <f t="shared" ref="I127" si="15">IF(AND(F127&lt;&gt;"Select",F127&lt;&gt;G127,G127&lt;&gt;"Select",G127&lt;&gt;"",F127&lt;&gt;"",E127&lt;=8),D127,0)+IF(AND(F128&lt;&gt;"Select",F128&lt;&gt;G128,G128&lt;&gt;"Select",G128&lt;&gt;"",F128&lt;&gt;"",E128&lt;=8),D128,0)+IF(AND(F129&lt;&gt;"Select",F129&lt;&gt;G129,G129&lt;&gt;"Select",G129&lt;&gt;"",F129&lt;&gt;"",E129&lt;=8),D129,0)</f>
        <v>0</v>
      </c>
      <c r="J127" s="2207">
        <f t="shared" ref="J127" si="16">IFERROR(IF(I127&gt;=0.75*C127,C127,I127),"")</f>
        <v>0</v>
      </c>
      <c r="K127" s="2208"/>
      <c r="L127" s="46"/>
      <c r="M127" s="46"/>
      <c r="N127"/>
    </row>
    <row r="128" spans="1:14" x14ac:dyDescent="0.25">
      <c r="A128" s="46"/>
      <c r="B128" s="2220"/>
      <c r="C128" s="2220"/>
      <c r="D128" s="1192"/>
      <c r="E128" s="1227"/>
      <c r="F128" s="1192" t="s">
        <v>53</v>
      </c>
      <c r="G128" s="1704" t="s">
        <v>53</v>
      </c>
      <c r="H128" s="1705"/>
      <c r="I128" s="2217"/>
      <c r="J128" s="2209"/>
      <c r="K128" s="2210"/>
      <c r="L128" s="46"/>
      <c r="M128" s="46"/>
      <c r="N128"/>
    </row>
    <row r="129" spans="1:14" x14ac:dyDescent="0.25">
      <c r="A129" s="46"/>
      <c r="B129" s="2221"/>
      <c r="C129" s="2221"/>
      <c r="D129" s="1190"/>
      <c r="E129" s="1227"/>
      <c r="F129" s="1192" t="s">
        <v>53</v>
      </c>
      <c r="G129" s="1704" t="s">
        <v>53</v>
      </c>
      <c r="H129" s="1705"/>
      <c r="I129" s="2218"/>
      <c r="J129" s="2211"/>
      <c r="K129" s="2212"/>
      <c r="L129" s="46"/>
      <c r="M129" s="46"/>
      <c r="N129"/>
    </row>
    <row r="130" spans="1:14" x14ac:dyDescent="0.25">
      <c r="A130" s="46"/>
      <c r="B130" s="2219"/>
      <c r="C130" s="2219"/>
      <c r="D130" s="1192"/>
      <c r="E130" s="1227"/>
      <c r="F130" s="1192" t="s">
        <v>53</v>
      </c>
      <c r="G130" s="1704" t="s">
        <v>53</v>
      </c>
      <c r="H130" s="1705"/>
      <c r="I130" s="2216">
        <f t="shared" ref="I130" si="17">IF(AND(F130&lt;&gt;"Select",F130&lt;&gt;G130,G130&lt;&gt;"Select",G130&lt;&gt;"",F130&lt;&gt;"",E130&lt;=8),D130,0)+IF(AND(F131&lt;&gt;"Select",F131&lt;&gt;G131,G131&lt;&gt;"Select",G131&lt;&gt;"",F131&lt;&gt;"",E131&lt;=8),D131,0)+IF(AND(F132&lt;&gt;"Select",F132&lt;&gt;G132,G132&lt;&gt;"Select",G132&lt;&gt;"",F132&lt;&gt;"",E132&lt;=8),D132,0)</f>
        <v>0</v>
      </c>
      <c r="J130" s="2207">
        <f t="shared" ref="J130" si="18">IFERROR(IF(I130&gt;=0.75*C130,C130,I130),"")</f>
        <v>0</v>
      </c>
      <c r="K130" s="2208"/>
      <c r="L130" s="46"/>
      <c r="M130" s="46"/>
      <c r="N130"/>
    </row>
    <row r="131" spans="1:14" x14ac:dyDescent="0.25">
      <c r="A131" s="46"/>
      <c r="B131" s="2220"/>
      <c r="C131" s="2220"/>
      <c r="D131" s="1192"/>
      <c r="E131" s="1227"/>
      <c r="F131" s="1192" t="s">
        <v>53</v>
      </c>
      <c r="G131" s="1704" t="s">
        <v>53</v>
      </c>
      <c r="H131" s="1705"/>
      <c r="I131" s="2217"/>
      <c r="J131" s="2209"/>
      <c r="K131" s="2210"/>
      <c r="L131" s="46"/>
      <c r="M131" s="46"/>
      <c r="N131"/>
    </row>
    <row r="132" spans="1:14" x14ac:dyDescent="0.25">
      <c r="A132" s="46"/>
      <c r="B132" s="2221"/>
      <c r="C132" s="2221"/>
      <c r="D132" s="1190"/>
      <c r="E132" s="1227"/>
      <c r="F132" s="1192" t="s">
        <v>53</v>
      </c>
      <c r="G132" s="1704" t="s">
        <v>53</v>
      </c>
      <c r="H132" s="1705"/>
      <c r="I132" s="2218"/>
      <c r="J132" s="2211"/>
      <c r="K132" s="2212"/>
      <c r="L132" s="46"/>
      <c r="M132" s="46"/>
      <c r="N132"/>
    </row>
    <row r="133" spans="1:14" x14ac:dyDescent="0.25">
      <c r="A133" s="46"/>
      <c r="B133" s="2219"/>
      <c r="C133" s="2219"/>
      <c r="D133" s="1192"/>
      <c r="E133" s="1227"/>
      <c r="F133" s="1192" t="s">
        <v>53</v>
      </c>
      <c r="G133" s="1704" t="s">
        <v>53</v>
      </c>
      <c r="H133" s="1705"/>
      <c r="I133" s="2216">
        <f t="shared" ref="I133" si="19">IF(AND(F133&lt;&gt;"Select",F133&lt;&gt;G133,G133&lt;&gt;"Select",G133&lt;&gt;"",F133&lt;&gt;"",E133&lt;=8),D133,0)+IF(AND(F134&lt;&gt;"Select",F134&lt;&gt;G134,G134&lt;&gt;"Select",G134&lt;&gt;"",F134&lt;&gt;"",E134&lt;=8),D134,0)+IF(AND(F135&lt;&gt;"Select",F135&lt;&gt;G135,G135&lt;&gt;"Select",G135&lt;&gt;"",F135&lt;&gt;"",E135&lt;=8),D135,0)</f>
        <v>0</v>
      </c>
      <c r="J133" s="2207">
        <f t="shared" ref="J133" si="20">IFERROR(IF(I133&gt;=0.75*C133,C133,I133),"")</f>
        <v>0</v>
      </c>
      <c r="K133" s="2208"/>
      <c r="L133" s="46"/>
      <c r="M133" s="46"/>
      <c r="N133"/>
    </row>
    <row r="134" spans="1:14" x14ac:dyDescent="0.25">
      <c r="A134" s="46"/>
      <c r="B134" s="2220"/>
      <c r="C134" s="2220"/>
      <c r="D134" s="1192"/>
      <c r="E134" s="1227"/>
      <c r="F134" s="1192" t="s">
        <v>53</v>
      </c>
      <c r="G134" s="1704" t="s">
        <v>53</v>
      </c>
      <c r="H134" s="1705"/>
      <c r="I134" s="2217"/>
      <c r="J134" s="2209"/>
      <c r="K134" s="2210"/>
      <c r="L134" s="46"/>
      <c r="M134" s="46"/>
      <c r="N134"/>
    </row>
    <row r="135" spans="1:14" x14ac:dyDescent="0.25">
      <c r="A135" s="46"/>
      <c r="B135" s="2221"/>
      <c r="C135" s="2221"/>
      <c r="D135" s="1190"/>
      <c r="E135" s="1227"/>
      <c r="F135" s="1192" t="s">
        <v>53</v>
      </c>
      <c r="G135" s="1704" t="s">
        <v>53</v>
      </c>
      <c r="H135" s="1705"/>
      <c r="I135" s="2218"/>
      <c r="J135" s="2211"/>
      <c r="K135" s="2212"/>
      <c r="L135" s="46"/>
      <c r="M135" s="46"/>
      <c r="N135"/>
    </row>
    <row r="136" spans="1:14" x14ac:dyDescent="0.25">
      <c r="A136" s="46"/>
      <c r="B136" s="2219"/>
      <c r="C136" s="2219"/>
      <c r="D136" s="1192"/>
      <c r="E136" s="1227"/>
      <c r="F136" s="1192" t="s">
        <v>53</v>
      </c>
      <c r="G136" s="1704" t="s">
        <v>53</v>
      </c>
      <c r="H136" s="1705"/>
      <c r="I136" s="2216">
        <f t="shared" ref="I136" si="21">IF(AND(F136&lt;&gt;"Select",F136&lt;&gt;G136,G136&lt;&gt;"Select",G136&lt;&gt;"",F136&lt;&gt;"",E136&lt;=8),D136,0)+IF(AND(F137&lt;&gt;"Select",F137&lt;&gt;G137,G137&lt;&gt;"Select",G137&lt;&gt;"",F137&lt;&gt;"",E137&lt;=8),D137,0)+IF(AND(F138&lt;&gt;"Select",F138&lt;&gt;G138,G138&lt;&gt;"Select",G138&lt;&gt;"",F138&lt;&gt;"",E138&lt;=8),D138,0)</f>
        <v>0</v>
      </c>
      <c r="J136" s="2207">
        <f t="shared" ref="J136" si="22">IFERROR(IF(I136&gt;=0.75*C136,C136,I136),"")</f>
        <v>0</v>
      </c>
      <c r="K136" s="2208"/>
      <c r="L136" s="46"/>
      <c r="M136" s="46"/>
      <c r="N136"/>
    </row>
    <row r="137" spans="1:14" x14ac:dyDescent="0.25">
      <c r="A137" s="46"/>
      <c r="B137" s="2220"/>
      <c r="C137" s="2220"/>
      <c r="D137" s="1192"/>
      <c r="E137" s="1227"/>
      <c r="F137" s="1192" t="s">
        <v>53</v>
      </c>
      <c r="G137" s="1704" t="s">
        <v>53</v>
      </c>
      <c r="H137" s="1705"/>
      <c r="I137" s="2217"/>
      <c r="J137" s="2209"/>
      <c r="K137" s="2210"/>
      <c r="L137" s="46"/>
      <c r="M137" s="46"/>
      <c r="N137"/>
    </row>
    <row r="138" spans="1:14" x14ac:dyDescent="0.25">
      <c r="A138" s="46"/>
      <c r="B138" s="2221"/>
      <c r="C138" s="2221"/>
      <c r="D138" s="1190"/>
      <c r="E138" s="1227"/>
      <c r="F138" s="1192" t="s">
        <v>53</v>
      </c>
      <c r="G138" s="1704" t="s">
        <v>53</v>
      </c>
      <c r="H138" s="1705"/>
      <c r="I138" s="2218"/>
      <c r="J138" s="2211"/>
      <c r="K138" s="2212"/>
      <c r="L138" s="46"/>
      <c r="M138" s="46"/>
      <c r="N138"/>
    </row>
    <row r="139" spans="1:14" x14ac:dyDescent="0.25">
      <c r="A139" s="46"/>
      <c r="B139" s="2219"/>
      <c r="C139" s="2219"/>
      <c r="D139" s="1192"/>
      <c r="E139" s="1227"/>
      <c r="F139" s="1192" t="s">
        <v>53</v>
      </c>
      <c r="G139" s="1704" t="s">
        <v>53</v>
      </c>
      <c r="H139" s="1705"/>
      <c r="I139" s="2216">
        <f t="shared" ref="I139" si="23">IF(AND(F139&lt;&gt;"Select",F139&lt;&gt;G139,G139&lt;&gt;"Select",G139&lt;&gt;"",F139&lt;&gt;"",E139&lt;=8),D139,0)+IF(AND(F140&lt;&gt;"Select",F140&lt;&gt;G140,G140&lt;&gt;"Select",G140&lt;&gt;"",F140&lt;&gt;"",E140&lt;=8),D140,0)+IF(AND(F141&lt;&gt;"Select",F141&lt;&gt;G141,G141&lt;&gt;"Select",G141&lt;&gt;"",F141&lt;&gt;"",E141&lt;=8),D141,0)</f>
        <v>0</v>
      </c>
      <c r="J139" s="2207">
        <f t="shared" ref="J139" si="24">IFERROR(IF(I139&gt;=0.75*C139,C139,I139),"")</f>
        <v>0</v>
      </c>
      <c r="K139" s="2208"/>
      <c r="L139" s="46"/>
      <c r="M139" s="46"/>
      <c r="N139"/>
    </row>
    <row r="140" spans="1:14" x14ac:dyDescent="0.25">
      <c r="A140" s="46"/>
      <c r="B140" s="2220"/>
      <c r="C140" s="2220"/>
      <c r="D140" s="1192"/>
      <c r="E140" s="1227"/>
      <c r="F140" s="1192" t="s">
        <v>53</v>
      </c>
      <c r="G140" s="1704" t="s">
        <v>53</v>
      </c>
      <c r="H140" s="1705"/>
      <c r="I140" s="2217"/>
      <c r="J140" s="2209"/>
      <c r="K140" s="2210"/>
      <c r="L140" s="46"/>
      <c r="M140" s="46"/>
      <c r="N140"/>
    </row>
    <row r="141" spans="1:14" x14ac:dyDescent="0.25">
      <c r="A141" s="46"/>
      <c r="B141" s="2221"/>
      <c r="C141" s="2221"/>
      <c r="D141" s="1190"/>
      <c r="E141" s="1227"/>
      <c r="F141" s="1192" t="s">
        <v>53</v>
      </c>
      <c r="G141" s="1704" t="s">
        <v>53</v>
      </c>
      <c r="H141" s="1705"/>
      <c r="I141" s="2218"/>
      <c r="J141" s="2211"/>
      <c r="K141" s="2212"/>
      <c r="L141" s="46"/>
      <c r="M141" s="46"/>
      <c r="N141"/>
    </row>
    <row r="142" spans="1:14" x14ac:dyDescent="0.25">
      <c r="A142" s="46"/>
      <c r="B142" s="2219"/>
      <c r="C142" s="2219"/>
      <c r="D142" s="1029"/>
      <c r="E142" s="1227"/>
      <c r="F142" s="1029" t="s">
        <v>53</v>
      </c>
      <c r="G142" s="1704" t="s">
        <v>53</v>
      </c>
      <c r="H142" s="1705"/>
      <c r="I142" s="2216">
        <f t="shared" ref="I142" si="25">IF(AND(F142&lt;&gt;"Select",F142&lt;&gt;G142,G142&lt;&gt;"Select",G142&lt;&gt;"",F142&lt;&gt;"",E142&lt;=8),D142,0)+IF(AND(F143&lt;&gt;"Select",F143&lt;&gt;G143,G143&lt;&gt;"Select",G143&lt;&gt;"",F143&lt;&gt;"",E143&lt;=8),D143,0)+IF(AND(F144&lt;&gt;"Select",F144&lt;&gt;G144,G144&lt;&gt;"Select",G144&lt;&gt;"",F144&lt;&gt;"",E144&lt;=8),D144,0)</f>
        <v>0</v>
      </c>
      <c r="J142" s="2207">
        <f t="shared" ref="J142" si="26">IFERROR(IF(I142&gt;=0.75*C142,C142,I142),"")</f>
        <v>0</v>
      </c>
      <c r="K142" s="2208"/>
      <c r="L142" s="46"/>
      <c r="M142" s="46"/>
      <c r="N142"/>
    </row>
    <row r="143" spans="1:14" x14ac:dyDescent="0.25">
      <c r="A143" s="46"/>
      <c r="B143" s="2220"/>
      <c r="C143" s="2220"/>
      <c r="D143" s="1029"/>
      <c r="E143" s="1227"/>
      <c r="F143" s="1029" t="s">
        <v>53</v>
      </c>
      <c r="G143" s="1704" t="s">
        <v>53</v>
      </c>
      <c r="H143" s="1705"/>
      <c r="I143" s="2217"/>
      <c r="J143" s="2209"/>
      <c r="K143" s="2210"/>
      <c r="L143" s="46"/>
      <c r="M143" s="46"/>
      <c r="N143"/>
    </row>
    <row r="144" spans="1:14" x14ac:dyDescent="0.25">
      <c r="A144" s="46"/>
      <c r="B144" s="2221"/>
      <c r="C144" s="2221"/>
      <c r="D144" s="1028"/>
      <c r="E144" s="1227"/>
      <c r="F144" s="1029" t="s">
        <v>53</v>
      </c>
      <c r="G144" s="1704" t="s">
        <v>53</v>
      </c>
      <c r="H144" s="1705"/>
      <c r="I144" s="2218"/>
      <c r="J144" s="2211"/>
      <c r="K144" s="2212"/>
      <c r="L144" s="46"/>
      <c r="M144" s="46"/>
      <c r="N144"/>
    </row>
    <row r="145" spans="1:14" x14ac:dyDescent="0.25">
      <c r="A145" s="46"/>
      <c r="B145" s="2219"/>
      <c r="C145" s="2219"/>
      <c r="D145" s="1029"/>
      <c r="E145" s="1227"/>
      <c r="F145" s="1029" t="s">
        <v>53</v>
      </c>
      <c r="G145" s="1704" t="s">
        <v>53</v>
      </c>
      <c r="H145" s="1705"/>
      <c r="I145" s="2216">
        <f t="shared" ref="I145" si="27">IF(AND(F145&lt;&gt;"Select",F145&lt;&gt;G145,G145&lt;&gt;"Select",G145&lt;&gt;"",F145&lt;&gt;"",E145&lt;=8),D145,0)+IF(AND(F146&lt;&gt;"Select",F146&lt;&gt;G146,G146&lt;&gt;"Select",G146&lt;&gt;"",F146&lt;&gt;"",E146&lt;=8),D146,0)+IF(AND(F147&lt;&gt;"Select",F147&lt;&gt;G147,G147&lt;&gt;"Select",G147&lt;&gt;"",F147&lt;&gt;"",E147&lt;=8),D147,0)</f>
        <v>0</v>
      </c>
      <c r="J145" s="2207">
        <f t="shared" ref="J145" si="28">IFERROR(IF(I145&gt;=0.75*C145,C145,I145),"")</f>
        <v>0</v>
      </c>
      <c r="K145" s="2208"/>
      <c r="L145" s="46"/>
      <c r="M145" s="46"/>
      <c r="N145"/>
    </row>
    <row r="146" spans="1:14" x14ac:dyDescent="0.25">
      <c r="A146" s="46"/>
      <c r="B146" s="2220"/>
      <c r="C146" s="2220"/>
      <c r="D146" s="1029"/>
      <c r="E146" s="1227"/>
      <c r="F146" s="1029" t="s">
        <v>53</v>
      </c>
      <c r="G146" s="1704" t="s">
        <v>53</v>
      </c>
      <c r="H146" s="1705"/>
      <c r="I146" s="2217"/>
      <c r="J146" s="2209"/>
      <c r="K146" s="2210"/>
      <c r="L146" s="46"/>
      <c r="M146" s="46"/>
      <c r="N146"/>
    </row>
    <row r="147" spans="1:14" x14ac:dyDescent="0.25">
      <c r="A147" s="46"/>
      <c r="B147" s="2221"/>
      <c r="C147" s="2221"/>
      <c r="D147" s="1028"/>
      <c r="E147" s="1227"/>
      <c r="F147" s="1029" t="s">
        <v>53</v>
      </c>
      <c r="G147" s="1704" t="s">
        <v>53</v>
      </c>
      <c r="H147" s="1705"/>
      <c r="I147" s="2218"/>
      <c r="J147" s="2211"/>
      <c r="K147" s="2212"/>
      <c r="L147" s="46"/>
      <c r="M147" s="46"/>
      <c r="N147"/>
    </row>
    <row r="148" spans="1:14" x14ac:dyDescent="0.25">
      <c r="A148" s="46"/>
      <c r="B148" s="2219"/>
      <c r="C148" s="2219"/>
      <c r="D148" s="1029"/>
      <c r="E148" s="1227"/>
      <c r="F148" s="1029" t="s">
        <v>53</v>
      </c>
      <c r="G148" s="1704" t="s">
        <v>53</v>
      </c>
      <c r="H148" s="1705"/>
      <c r="I148" s="2216">
        <f t="shared" ref="I148" si="29">IF(AND(F148&lt;&gt;"Select",F148&lt;&gt;G148,G148&lt;&gt;"Select",G148&lt;&gt;"",F148&lt;&gt;"",E148&lt;=8),D148,0)+IF(AND(F149&lt;&gt;"Select",F149&lt;&gt;G149,G149&lt;&gt;"Select",G149&lt;&gt;"",F149&lt;&gt;"",E149&lt;=8),D149,0)+IF(AND(F150&lt;&gt;"Select",F150&lt;&gt;G150,G150&lt;&gt;"Select",G150&lt;&gt;"",F150&lt;&gt;"",E150&lt;=8),D150,0)</f>
        <v>0</v>
      </c>
      <c r="J148" s="2207">
        <f t="shared" ref="J148" si="30">IFERROR(IF(I148&gt;=0.75*C148,C148,I148),"")</f>
        <v>0</v>
      </c>
      <c r="K148" s="2208"/>
      <c r="L148" s="46"/>
      <c r="M148" s="46"/>
      <c r="N148"/>
    </row>
    <row r="149" spans="1:14" x14ac:dyDescent="0.25">
      <c r="A149" s="46"/>
      <c r="B149" s="2220"/>
      <c r="C149" s="2220"/>
      <c r="D149" s="1029"/>
      <c r="E149" s="1227"/>
      <c r="F149" s="1029" t="s">
        <v>53</v>
      </c>
      <c r="G149" s="1704" t="s">
        <v>53</v>
      </c>
      <c r="H149" s="1705"/>
      <c r="I149" s="2217"/>
      <c r="J149" s="2209"/>
      <c r="K149" s="2210"/>
      <c r="L149" s="46"/>
      <c r="M149" s="46"/>
      <c r="N149"/>
    </row>
    <row r="150" spans="1:14" x14ac:dyDescent="0.25">
      <c r="A150" s="46"/>
      <c r="B150" s="2221"/>
      <c r="C150" s="2221"/>
      <c r="D150" s="1028"/>
      <c r="E150" s="1227"/>
      <c r="F150" s="1029" t="s">
        <v>53</v>
      </c>
      <c r="G150" s="1704" t="s">
        <v>53</v>
      </c>
      <c r="H150" s="1705"/>
      <c r="I150" s="2218"/>
      <c r="J150" s="2211"/>
      <c r="K150" s="2212"/>
      <c r="L150" s="46"/>
      <c r="M150" s="46"/>
      <c r="N150"/>
    </row>
    <row r="151" spans="1:14" x14ac:dyDescent="0.25">
      <c r="A151" s="46"/>
      <c r="B151" s="2219"/>
      <c r="C151" s="2219"/>
      <c r="D151" s="1029"/>
      <c r="E151" s="1227"/>
      <c r="F151" s="1029" t="s">
        <v>53</v>
      </c>
      <c r="G151" s="1704" t="s">
        <v>53</v>
      </c>
      <c r="H151" s="1705"/>
      <c r="I151" s="2216">
        <f t="shared" ref="I151" si="31">IF(AND(F151&lt;&gt;"Select",F151&lt;&gt;G151,G151&lt;&gt;"Select",G151&lt;&gt;"",F151&lt;&gt;"",E151&lt;=8),D151,0)+IF(AND(F152&lt;&gt;"Select",F152&lt;&gt;G152,G152&lt;&gt;"Select",G152&lt;&gt;"",F152&lt;&gt;"",E152&lt;=8),D152,0)+IF(AND(F153&lt;&gt;"Select",F153&lt;&gt;G153,G153&lt;&gt;"Select",G153&lt;&gt;"",F153&lt;&gt;"",E153&lt;=8),D153,0)</f>
        <v>0</v>
      </c>
      <c r="J151" s="2207">
        <f t="shared" ref="J151" si="32">IFERROR(IF(I151&gt;=0.75*C151,C151,I151),"")</f>
        <v>0</v>
      </c>
      <c r="K151" s="2208"/>
      <c r="L151" s="46"/>
      <c r="M151" s="46"/>
      <c r="N151"/>
    </row>
    <row r="152" spans="1:14" x14ac:dyDescent="0.25">
      <c r="A152" s="46"/>
      <c r="B152" s="2220"/>
      <c r="C152" s="2220"/>
      <c r="D152" s="1029"/>
      <c r="E152" s="1227"/>
      <c r="F152" s="1029" t="s">
        <v>53</v>
      </c>
      <c r="G152" s="1704" t="s">
        <v>53</v>
      </c>
      <c r="H152" s="1705"/>
      <c r="I152" s="2217"/>
      <c r="J152" s="2209"/>
      <c r="K152" s="2210"/>
      <c r="L152" s="46"/>
      <c r="M152" s="46"/>
      <c r="N152"/>
    </row>
    <row r="153" spans="1:14" x14ac:dyDescent="0.25">
      <c r="A153" s="46"/>
      <c r="B153" s="2221"/>
      <c r="C153" s="2221"/>
      <c r="D153" s="1028"/>
      <c r="E153" s="1227"/>
      <c r="F153" s="1029" t="s">
        <v>53</v>
      </c>
      <c r="G153" s="1704" t="s">
        <v>53</v>
      </c>
      <c r="H153" s="1705"/>
      <c r="I153" s="2218"/>
      <c r="J153" s="2211"/>
      <c r="K153" s="2212"/>
      <c r="L153" s="46"/>
      <c r="M153" s="46"/>
      <c r="N153"/>
    </row>
    <row r="154" spans="1:14" x14ac:dyDescent="0.25">
      <c r="A154" s="46"/>
      <c r="B154" s="2219"/>
      <c r="C154" s="2219"/>
      <c r="D154" s="1029"/>
      <c r="E154" s="1227"/>
      <c r="F154" s="1029" t="s">
        <v>53</v>
      </c>
      <c r="G154" s="1704" t="s">
        <v>53</v>
      </c>
      <c r="H154" s="1705"/>
      <c r="I154" s="2216">
        <f t="shared" ref="I154" si="33">IF(AND(F154&lt;&gt;"Select",F154&lt;&gt;G154,G154&lt;&gt;"Select",G154&lt;&gt;"",F154&lt;&gt;"",E154&lt;=8),D154,0)+IF(AND(F155&lt;&gt;"Select",F155&lt;&gt;G155,G155&lt;&gt;"Select",G155&lt;&gt;"",F155&lt;&gt;"",E155&lt;=8),D155,0)+IF(AND(F156&lt;&gt;"Select",F156&lt;&gt;G156,G156&lt;&gt;"Select",G156&lt;&gt;"",F156&lt;&gt;"",E156&lt;=8),D156,0)</f>
        <v>0</v>
      </c>
      <c r="J154" s="2207">
        <f t="shared" ref="J154" si="34">IFERROR(IF(I154&gt;=0.75*C154,C154,I154),"")</f>
        <v>0</v>
      </c>
      <c r="K154" s="2208"/>
      <c r="L154" s="46"/>
      <c r="M154" s="46"/>
      <c r="N154"/>
    </row>
    <row r="155" spans="1:14" x14ac:dyDescent="0.25">
      <c r="A155" s="46"/>
      <c r="B155" s="2220"/>
      <c r="C155" s="2220"/>
      <c r="D155" s="1029"/>
      <c r="E155" s="1227"/>
      <c r="F155" s="1029" t="s">
        <v>53</v>
      </c>
      <c r="G155" s="1704" t="s">
        <v>53</v>
      </c>
      <c r="H155" s="1705"/>
      <c r="I155" s="2217"/>
      <c r="J155" s="2209"/>
      <c r="K155" s="2210"/>
      <c r="L155" s="46"/>
      <c r="M155" s="46"/>
      <c r="N155"/>
    </row>
    <row r="156" spans="1:14" x14ac:dyDescent="0.25">
      <c r="A156" s="46"/>
      <c r="B156" s="2221"/>
      <c r="C156" s="2221"/>
      <c r="D156" s="1028"/>
      <c r="E156" s="1227"/>
      <c r="F156" s="1029" t="s">
        <v>53</v>
      </c>
      <c r="G156" s="1704" t="s">
        <v>53</v>
      </c>
      <c r="H156" s="1705"/>
      <c r="I156" s="2218"/>
      <c r="J156" s="2211"/>
      <c r="K156" s="2212"/>
      <c r="L156" s="46"/>
      <c r="M156" s="46"/>
      <c r="N156"/>
    </row>
    <row r="157" spans="1:14" x14ac:dyDescent="0.25">
      <c r="A157" s="46"/>
      <c r="B157" s="2219"/>
      <c r="C157" s="2219"/>
      <c r="D157" s="228"/>
      <c r="E157" s="1227"/>
      <c r="F157" s="228" t="s">
        <v>53</v>
      </c>
      <c r="G157" s="1704" t="s">
        <v>53</v>
      </c>
      <c r="H157" s="1705"/>
      <c r="I157" s="2216">
        <f t="shared" ref="I157" si="35">IF(AND(F157&lt;&gt;"Select",F157&lt;&gt;G157,G157&lt;&gt;"Select",G157&lt;&gt;"",F157&lt;&gt;"",E157&lt;=8),D157,0)+IF(AND(F158&lt;&gt;"Select",F158&lt;&gt;G158,G158&lt;&gt;"Select",G158&lt;&gt;"",F158&lt;&gt;"",E158&lt;=8),D158,0)+IF(AND(F159&lt;&gt;"Select",F159&lt;&gt;G159,G159&lt;&gt;"Select",G159&lt;&gt;"",F159&lt;&gt;"",E159&lt;=8),D159,0)</f>
        <v>0</v>
      </c>
      <c r="J157" s="2207">
        <f t="shared" ref="J157" si="36">IFERROR(IF(I157&gt;=0.75*C157,C157,I157),"")</f>
        <v>0</v>
      </c>
      <c r="K157" s="2208"/>
      <c r="L157" s="46"/>
      <c r="M157" s="46"/>
      <c r="N157"/>
    </row>
    <row r="158" spans="1:14" x14ac:dyDescent="0.25">
      <c r="A158" s="46"/>
      <c r="B158" s="2220"/>
      <c r="C158" s="2220"/>
      <c r="D158" s="228"/>
      <c r="E158" s="1227"/>
      <c r="F158" s="228" t="s">
        <v>53</v>
      </c>
      <c r="G158" s="1704" t="s">
        <v>53</v>
      </c>
      <c r="H158" s="1705"/>
      <c r="I158" s="2217"/>
      <c r="J158" s="2209"/>
      <c r="K158" s="2210"/>
      <c r="L158" s="46"/>
      <c r="M158" s="46"/>
      <c r="N158"/>
    </row>
    <row r="159" spans="1:14" x14ac:dyDescent="0.25">
      <c r="A159" s="46"/>
      <c r="B159" s="2221"/>
      <c r="C159" s="2221"/>
      <c r="D159" s="774"/>
      <c r="E159" s="1227"/>
      <c r="F159" s="228" t="s">
        <v>53</v>
      </c>
      <c r="G159" s="1704" t="s">
        <v>53</v>
      </c>
      <c r="H159" s="1705"/>
      <c r="I159" s="2218"/>
      <c r="J159" s="2211"/>
      <c r="K159" s="2212"/>
      <c r="L159" s="46"/>
      <c r="M159" s="46"/>
      <c r="N159"/>
    </row>
    <row r="160" spans="1:14" x14ac:dyDescent="0.25">
      <c r="A160" s="46"/>
      <c r="B160" s="2219"/>
      <c r="C160" s="2219"/>
      <c r="D160" s="228"/>
      <c r="E160" s="1227"/>
      <c r="F160" s="228" t="s">
        <v>53</v>
      </c>
      <c r="G160" s="1704" t="s">
        <v>53</v>
      </c>
      <c r="H160" s="1705"/>
      <c r="I160" s="2216">
        <f t="shared" ref="I160" si="37">IF(AND(F160&lt;&gt;"Select",F160&lt;&gt;G160,G160&lt;&gt;"Select",G160&lt;&gt;"",F160&lt;&gt;"",E160&lt;=8),D160,0)+IF(AND(F161&lt;&gt;"Select",F161&lt;&gt;G161,G161&lt;&gt;"Select",G161&lt;&gt;"",F161&lt;&gt;"",E161&lt;=8),D161,0)+IF(AND(F162&lt;&gt;"Select",F162&lt;&gt;G162,G162&lt;&gt;"Select",G162&lt;&gt;"",F162&lt;&gt;"",E162&lt;=8),D162,0)</f>
        <v>0</v>
      </c>
      <c r="J160" s="2207">
        <f t="shared" ref="J160" si="38">IFERROR(IF(I160&gt;=0.75*C160,C160,I160),"")</f>
        <v>0</v>
      </c>
      <c r="K160" s="2208"/>
      <c r="L160" s="46"/>
      <c r="M160" s="46"/>
      <c r="N160"/>
    </row>
    <row r="161" spans="1:14" x14ac:dyDescent="0.25">
      <c r="A161" s="46"/>
      <c r="B161" s="2220"/>
      <c r="C161" s="2220"/>
      <c r="D161" s="228"/>
      <c r="E161" s="1227"/>
      <c r="F161" s="228" t="s">
        <v>53</v>
      </c>
      <c r="G161" s="1704" t="s">
        <v>53</v>
      </c>
      <c r="H161" s="1705"/>
      <c r="I161" s="2217"/>
      <c r="J161" s="2209"/>
      <c r="K161" s="2210"/>
      <c r="L161" s="46"/>
      <c r="M161" s="46"/>
      <c r="N161"/>
    </row>
    <row r="162" spans="1:14" x14ac:dyDescent="0.25">
      <c r="A162" s="46"/>
      <c r="B162" s="2221"/>
      <c r="C162" s="2221"/>
      <c r="D162" s="774"/>
      <c r="E162" s="1227"/>
      <c r="F162" s="228" t="s">
        <v>53</v>
      </c>
      <c r="G162" s="1704" t="s">
        <v>53</v>
      </c>
      <c r="H162" s="1705"/>
      <c r="I162" s="2218"/>
      <c r="J162" s="2211"/>
      <c r="K162" s="2212"/>
      <c r="L162" s="46"/>
      <c r="M162" s="46"/>
      <c r="N162"/>
    </row>
    <row r="163" spans="1:14" x14ac:dyDescent="0.25">
      <c r="A163" s="46"/>
      <c r="B163" s="2219"/>
      <c r="C163" s="2219"/>
      <c r="D163" s="228"/>
      <c r="E163" s="1227"/>
      <c r="F163" s="228" t="s">
        <v>53</v>
      </c>
      <c r="G163" s="1704" t="s">
        <v>53</v>
      </c>
      <c r="H163" s="1705"/>
      <c r="I163" s="2216">
        <f t="shared" ref="I163" si="39">IF(AND(F163&lt;&gt;"Select",F163&lt;&gt;G163,G163&lt;&gt;"Select",G163&lt;&gt;"",F163&lt;&gt;"",E163&lt;=8),D163,0)+IF(AND(F164&lt;&gt;"Select",F164&lt;&gt;G164,G164&lt;&gt;"Select",G164&lt;&gt;"",F164&lt;&gt;"",E164&lt;=8),D164,0)+IF(AND(F165&lt;&gt;"Select",F165&lt;&gt;G165,G165&lt;&gt;"Select",G165&lt;&gt;"",F165&lt;&gt;"",E165&lt;=8),D165,0)</f>
        <v>0</v>
      </c>
      <c r="J163" s="2207">
        <f t="shared" ref="J163" si="40">IFERROR(IF(I163&gt;=0.75*C163,C163,I163),"")</f>
        <v>0</v>
      </c>
      <c r="K163" s="2208"/>
      <c r="L163" s="46"/>
      <c r="M163" s="46"/>
      <c r="N163"/>
    </row>
    <row r="164" spans="1:14" x14ac:dyDescent="0.25">
      <c r="A164" s="46"/>
      <c r="B164" s="2220"/>
      <c r="C164" s="2220"/>
      <c r="D164" s="228"/>
      <c r="E164" s="1227"/>
      <c r="F164" s="228" t="s">
        <v>53</v>
      </c>
      <c r="G164" s="1704" t="s">
        <v>53</v>
      </c>
      <c r="H164" s="1705"/>
      <c r="I164" s="2217"/>
      <c r="J164" s="2209"/>
      <c r="K164" s="2210"/>
      <c r="L164" s="46"/>
      <c r="M164" s="46"/>
      <c r="N164"/>
    </row>
    <row r="165" spans="1:14" x14ac:dyDescent="0.25">
      <c r="A165" s="46"/>
      <c r="B165" s="2221"/>
      <c r="C165" s="2221"/>
      <c r="D165" s="774"/>
      <c r="E165" s="1227"/>
      <c r="F165" s="228" t="s">
        <v>53</v>
      </c>
      <c r="G165" s="1704" t="s">
        <v>53</v>
      </c>
      <c r="H165" s="1705"/>
      <c r="I165" s="2218"/>
      <c r="J165" s="2211"/>
      <c r="K165" s="2212"/>
      <c r="L165" s="46"/>
      <c r="M165" s="46"/>
      <c r="N165"/>
    </row>
    <row r="166" spans="1:14" ht="18" customHeight="1" x14ac:dyDescent="0.25">
      <c r="A166" s="46"/>
      <c r="B166" s="46"/>
      <c r="C166" s="46"/>
      <c r="D166" s="46"/>
      <c r="E166" s="46"/>
      <c r="F166" s="46"/>
      <c r="G166" s="46"/>
      <c r="H166" s="46"/>
      <c r="I166" s="46"/>
      <c r="J166" s="46"/>
      <c r="K166" s="46"/>
      <c r="L166" s="46"/>
      <c r="M166"/>
      <c r="N166"/>
    </row>
    <row r="167" spans="1:14" ht="18" customHeight="1" x14ac:dyDescent="0.25">
      <c r="A167" s="46"/>
      <c r="B167" s="2124" t="s">
        <v>945</v>
      </c>
      <c r="C167" s="2126"/>
      <c r="D167" s="160">
        <f>SUM(J106:J165)</f>
        <v>0</v>
      </c>
      <c r="E167" s="46"/>
      <c r="F167" s="46"/>
      <c r="G167" s="46"/>
      <c r="H167" s="46"/>
      <c r="I167" s="46"/>
      <c r="J167" s="46"/>
      <c r="K167" s="46"/>
      <c r="L167" s="46"/>
      <c r="M167"/>
      <c r="N167"/>
    </row>
    <row r="168" spans="1:14" ht="18" customHeight="1" x14ac:dyDescent="0.25">
      <c r="A168" s="46"/>
      <c r="B168" s="2124" t="s">
        <v>1425</v>
      </c>
      <c r="C168" s="2126"/>
      <c r="D168" s="66">
        <f>IFERROR(D167/SUM(C106:C165),0)</f>
        <v>0</v>
      </c>
      <c r="E168" s="46"/>
      <c r="F168" s="46"/>
      <c r="G168" s="46"/>
      <c r="H168" s="46"/>
      <c r="I168" s="46"/>
      <c r="J168" s="46"/>
      <c r="K168" s="46"/>
      <c r="L168" s="46"/>
      <c r="M168"/>
      <c r="N168"/>
    </row>
    <row r="169" spans="1:14" ht="18" customHeight="1" x14ac:dyDescent="0.25">
      <c r="A169" s="46"/>
      <c r="B169" s="46"/>
      <c r="C169" s="46"/>
      <c r="D169" s="46"/>
      <c r="E169" s="46"/>
      <c r="F169" s="46"/>
      <c r="G169" s="46"/>
      <c r="H169" s="46"/>
      <c r="I169" s="46"/>
      <c r="J169" s="46"/>
      <c r="K169" s="46"/>
      <c r="L169" s="46"/>
      <c r="M169"/>
      <c r="N169"/>
    </row>
    <row r="170" spans="1:14" ht="17.25" customHeight="1" x14ac:dyDescent="0.25">
      <c r="A170" s="2117" t="s">
        <v>84</v>
      </c>
      <c r="B170" s="2117"/>
      <c r="C170" s="2117"/>
      <c r="D170" s="46"/>
      <c r="E170" s="46"/>
      <c r="F170" s="46"/>
      <c r="G170" s="46"/>
      <c r="H170" s="46"/>
      <c r="I170" s="46"/>
      <c r="J170" s="46"/>
      <c r="K170" s="46"/>
      <c r="L170" s="46"/>
      <c r="M170"/>
      <c r="N170"/>
    </row>
    <row r="171" spans="1:14" x14ac:dyDescent="0.25">
      <c r="A171" s="46"/>
      <c r="B171" s="46"/>
      <c r="C171" s="46"/>
      <c r="D171" s="46"/>
      <c r="E171" s="46"/>
      <c r="F171" s="46"/>
      <c r="G171" s="46"/>
      <c r="H171" s="46"/>
      <c r="I171" s="46"/>
      <c r="J171" s="46"/>
      <c r="K171" s="46"/>
      <c r="L171" s="46"/>
      <c r="M171"/>
      <c r="N171"/>
    </row>
    <row r="172" spans="1:14" ht="21" customHeight="1" x14ac:dyDescent="0.25">
      <c r="A172" s="46"/>
      <c r="B172" s="2104" t="s">
        <v>85</v>
      </c>
      <c r="C172" s="2105"/>
      <c r="D172" s="2105"/>
      <c r="E172" s="2105"/>
      <c r="F172" s="2105"/>
      <c r="G172" s="239" t="s">
        <v>907</v>
      </c>
      <c r="H172" s="2106" t="s">
        <v>908</v>
      </c>
      <c r="I172" s="2174"/>
      <c r="J172" s="46"/>
      <c r="K172" s="46"/>
      <c r="L172" s="46"/>
      <c r="M172"/>
      <c r="N172"/>
    </row>
    <row r="173" spans="1:14" ht="24" customHeight="1" x14ac:dyDescent="0.25">
      <c r="A173" s="46"/>
      <c r="B173" s="1648" t="str">
        <f>Submittals!G94</f>
        <v>• Floor plans showing all areas with quality views</v>
      </c>
      <c r="C173" s="1649"/>
      <c r="D173" s="1649"/>
      <c r="E173" s="1649"/>
      <c r="F173" s="1649"/>
      <c r="G173" s="775" t="s">
        <v>53</v>
      </c>
      <c r="H173" s="1689"/>
      <c r="I173" s="1690"/>
      <c r="J173" s="46"/>
      <c r="K173" s="46"/>
      <c r="L173" s="46"/>
      <c r="M173" s="35" t="str">
        <f>IF(OR(B173="/",B173="No evidence required at this submission stage"),"Yes",IF(G173="Submitted","Yes","No"))</f>
        <v>No</v>
      </c>
      <c r="N173"/>
    </row>
    <row r="174" spans="1:14" ht="24" customHeight="1" x14ac:dyDescent="0.25">
      <c r="A174" s="46"/>
      <c r="B174" s="1648" t="s">
        <v>2143</v>
      </c>
      <c r="C174" s="1649"/>
      <c r="D174" s="1649"/>
      <c r="E174" s="1649"/>
      <c r="F174" s="1650"/>
      <c r="G174" s="775" t="s">
        <v>53</v>
      </c>
      <c r="H174" s="1689"/>
      <c r="I174" s="1690"/>
      <c r="J174" s="46"/>
      <c r="K174" s="46"/>
      <c r="L174" s="46"/>
      <c r="M174" s="35" t="str">
        <f>IF(OR(B174="/",B174="No evidence required at this submission stage"),"Yes",IF(G174="Submitted","Yes","No"))</f>
        <v>No</v>
      </c>
      <c r="N174"/>
    </row>
    <row r="175" spans="1:14" s="318" customFormat="1" ht="19.5" customHeight="1" x14ac:dyDescent="0.25">
      <c r="A175" s="46"/>
      <c r="B175" s="46"/>
      <c r="C175" s="46"/>
      <c r="D175" s="46"/>
      <c r="E175" s="46"/>
      <c r="F175" s="46"/>
      <c r="G175" s="46"/>
      <c r="H175" s="46"/>
      <c r="I175" s="46"/>
      <c r="J175" s="46"/>
      <c r="K175" s="46"/>
      <c r="L175" s="46"/>
      <c r="M175"/>
      <c r="N175"/>
    </row>
    <row r="176" spans="1:14" ht="17.25" customHeight="1" x14ac:dyDescent="0.25">
      <c r="A176" s="2117" t="s">
        <v>5</v>
      </c>
      <c r="B176" s="2117"/>
      <c r="C176" s="2117"/>
      <c r="D176" s="46"/>
      <c r="E176" s="46"/>
      <c r="F176" s="46"/>
      <c r="G176" s="46"/>
      <c r="H176" s="46"/>
      <c r="I176" s="46"/>
      <c r="J176" s="46"/>
      <c r="K176" s="46"/>
      <c r="L176" s="46"/>
      <c r="M176"/>
      <c r="N176"/>
    </row>
    <row r="177" spans="1:14" x14ac:dyDescent="0.25">
      <c r="A177" s="46"/>
      <c r="B177" s="46"/>
      <c r="C177" s="46"/>
      <c r="D177" s="46"/>
      <c r="E177" s="46"/>
      <c r="F177" s="46"/>
      <c r="G177" s="46"/>
      <c r="H177" s="46"/>
      <c r="I177" s="46"/>
      <c r="J177" s="46"/>
      <c r="K177" s="46"/>
      <c r="L177" s="46"/>
      <c r="M177"/>
      <c r="N177"/>
    </row>
    <row r="178" spans="1:14" ht="18" customHeight="1" x14ac:dyDescent="0.25">
      <c r="A178" s="46"/>
      <c r="B178" s="134" t="s">
        <v>16</v>
      </c>
      <c r="C178" s="8">
        <f>IF(D168&gt;=0.6,1,0)</f>
        <v>0</v>
      </c>
      <c r="D178" s="46"/>
      <c r="E178" s="46"/>
      <c r="F178" s="46"/>
      <c r="G178" s="46"/>
      <c r="H178" s="46"/>
      <c r="I178" s="46"/>
      <c r="J178" s="46"/>
      <c r="K178" s="46"/>
      <c r="L178" s="46"/>
      <c r="M178"/>
      <c r="N178"/>
    </row>
    <row r="179" spans="1:14" ht="18" customHeight="1" x14ac:dyDescent="0.25">
      <c r="A179" s="46"/>
      <c r="B179" s="135" t="s">
        <v>133</v>
      </c>
      <c r="C179" s="8" t="str">
        <f>IF(AND(COUNTIF(M173:M174,"Yes")=2,C178&gt;0),"Yes","No")</f>
        <v>No</v>
      </c>
      <c r="D179" s="46"/>
      <c r="E179" s="46"/>
      <c r="F179" s="46"/>
      <c r="G179" s="46"/>
      <c r="H179" s="46"/>
      <c r="I179" s="46"/>
      <c r="J179" s="46"/>
      <c r="K179" s="46"/>
      <c r="L179" s="46"/>
      <c r="M179"/>
      <c r="N179"/>
    </row>
    <row r="180" spans="1:14" x14ac:dyDescent="0.25">
      <c r="A180" s="46"/>
      <c r="B180" s="46"/>
      <c r="C180" s="46"/>
      <c r="D180" s="46"/>
      <c r="E180" s="46"/>
      <c r="F180" s="46"/>
      <c r="G180" s="46"/>
      <c r="H180" s="46"/>
      <c r="I180" s="46"/>
      <c r="J180" s="46"/>
      <c r="K180" s="46"/>
      <c r="L180" s="46"/>
      <c r="M180"/>
      <c r="N180"/>
    </row>
    <row r="181" spans="1:14" hidden="1" x14ac:dyDescent="0.25">
      <c r="A181" s="46"/>
      <c r="B181" s="46"/>
      <c r="C181" s="46"/>
      <c r="D181" s="46"/>
      <c r="E181" s="46"/>
      <c r="F181" s="46"/>
      <c r="G181" s="46"/>
      <c r="H181" s="46"/>
      <c r="I181" s="46"/>
      <c r="J181" s="46"/>
      <c r="K181" s="46"/>
      <c r="L181" s="46"/>
      <c r="M181"/>
      <c r="N181"/>
    </row>
    <row r="182" spans="1:14" ht="15" hidden="1" customHeight="1" x14ac:dyDescent="0.25"/>
    <row r="183" spans="1:14" ht="15" hidden="1" customHeight="1" x14ac:dyDescent="0.25"/>
    <row r="184" spans="1:14" ht="15" hidden="1" customHeight="1" x14ac:dyDescent="0.25"/>
    <row r="185" spans="1:14" ht="15" hidden="1" customHeight="1" x14ac:dyDescent="0.25"/>
    <row r="186" spans="1:14" ht="15" hidden="1" customHeight="1" x14ac:dyDescent="0.25"/>
    <row r="187" spans="1:14" ht="15" hidden="1" customHeight="1" x14ac:dyDescent="0.25"/>
    <row r="188" spans="1:14" ht="15" hidden="1" customHeight="1" x14ac:dyDescent="0.25"/>
    <row r="189" spans="1:14" ht="15" hidden="1" customHeight="1" x14ac:dyDescent="0.25"/>
    <row r="190" spans="1:14" ht="15" hidden="1" customHeight="1" x14ac:dyDescent="0.25"/>
    <row r="191" spans="1:14" ht="15" hidden="1" customHeight="1" x14ac:dyDescent="0.25"/>
    <row r="192" spans="1:14"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sheetData>
  <sheetProtection algorithmName="SHA-512" hashValue="1DqJzsNGiXvZsYP/+S7cxOmFR6s//Z0SJgCIlJPDIk6J2yOO+KRrPqmlx7LoeEPJwgUgPbiUAnbUDQRiLPGAPw==" saltValue="pSCMuVh/53DB4zyINOszRg==" spinCount="100000" sheet="1" objects="1" scenarios="1" formatRows="0"/>
  <mergeCells count="200">
    <mergeCell ref="J121:K123"/>
    <mergeCell ref="J124:K126"/>
    <mergeCell ref="J127:K129"/>
    <mergeCell ref="J130:K132"/>
    <mergeCell ref="J133:K135"/>
    <mergeCell ref="J136:K138"/>
    <mergeCell ref="J139:K141"/>
    <mergeCell ref="J142:K144"/>
    <mergeCell ref="J145:K147"/>
    <mergeCell ref="J104:K105"/>
    <mergeCell ref="J106:K108"/>
    <mergeCell ref="J109:K111"/>
    <mergeCell ref="J112:K114"/>
    <mergeCell ref="J115:K117"/>
    <mergeCell ref="J118:K120"/>
    <mergeCell ref="E104:E105"/>
    <mergeCell ref="B75:F75"/>
    <mergeCell ref="H75:I75"/>
    <mergeCell ref="I109:I111"/>
    <mergeCell ref="G107:H107"/>
    <mergeCell ref="G110:H110"/>
    <mergeCell ref="B112:B114"/>
    <mergeCell ref="C112:C114"/>
    <mergeCell ref="G115:H115"/>
    <mergeCell ref="I115:I117"/>
    <mergeCell ref="G116:H116"/>
    <mergeCell ref="G117:H117"/>
    <mergeCell ref="C106:C108"/>
    <mergeCell ref="B109:B111"/>
    <mergeCell ref="C109:C111"/>
    <mergeCell ref="I106:I108"/>
    <mergeCell ref="I118:I120"/>
    <mergeCell ref="G119:H119"/>
    <mergeCell ref="G136:H136"/>
    <mergeCell ref="I136:I138"/>
    <mergeCell ref="G137:H137"/>
    <mergeCell ref="G138:H138"/>
    <mergeCell ref="B139:B141"/>
    <mergeCell ref="C139:C141"/>
    <mergeCell ref="G139:H139"/>
    <mergeCell ref="I139:I141"/>
    <mergeCell ref="G140:H140"/>
    <mergeCell ref="G141:H141"/>
    <mergeCell ref="G120:H120"/>
    <mergeCell ref="B121:B123"/>
    <mergeCell ref="I130:I132"/>
    <mergeCell ref="G131:H131"/>
    <mergeCell ref="G132:H132"/>
    <mergeCell ref="B133:B135"/>
    <mergeCell ref="C133:C135"/>
    <mergeCell ref="G133:H133"/>
    <mergeCell ref="I133:I135"/>
    <mergeCell ref="G134:H134"/>
    <mergeCell ref="G135:H135"/>
    <mergeCell ref="B130:B132"/>
    <mergeCell ref="C130:C132"/>
    <mergeCell ref="G130:H130"/>
    <mergeCell ref="A1:L1"/>
    <mergeCell ref="A9:L9"/>
    <mergeCell ref="A20:L20"/>
    <mergeCell ref="A83:L83"/>
    <mergeCell ref="H2:I4"/>
    <mergeCell ref="B14:F14"/>
    <mergeCell ref="A5:L7"/>
    <mergeCell ref="B11:F11"/>
    <mergeCell ref="B12:F12"/>
    <mergeCell ref="B13:F13"/>
    <mergeCell ref="B45:B46"/>
    <mergeCell ref="C45:C46"/>
    <mergeCell ref="D45:D46"/>
    <mergeCell ref="E45:E46"/>
    <mergeCell ref="H76:I76"/>
    <mergeCell ref="H73:I73"/>
    <mergeCell ref="H74:I74"/>
    <mergeCell ref="B68:C68"/>
    <mergeCell ref="B69:C69"/>
    <mergeCell ref="B32:I32"/>
    <mergeCell ref="B18:J18"/>
    <mergeCell ref="B27:I27"/>
    <mergeCell ref="B28:I28"/>
    <mergeCell ref="A176:C176"/>
    <mergeCell ref="A39:C39"/>
    <mergeCell ref="A22:C22"/>
    <mergeCell ref="A71:C71"/>
    <mergeCell ref="A78:C78"/>
    <mergeCell ref="A95:C95"/>
    <mergeCell ref="A85:C85"/>
    <mergeCell ref="A170:C170"/>
    <mergeCell ref="B172:F172"/>
    <mergeCell ref="B73:F73"/>
    <mergeCell ref="B74:F74"/>
    <mergeCell ref="B76:F76"/>
    <mergeCell ref="B174:F174"/>
    <mergeCell ref="B173:F173"/>
    <mergeCell ref="B124:B126"/>
    <mergeCell ref="C124:C126"/>
    <mergeCell ref="C163:C165"/>
    <mergeCell ref="B154:B156"/>
    <mergeCell ref="C154:C156"/>
    <mergeCell ref="B148:B150"/>
    <mergeCell ref="C148:C150"/>
    <mergeCell ref="B151:B153"/>
    <mergeCell ref="C151:C153"/>
    <mergeCell ref="B145:B147"/>
    <mergeCell ref="G161:H161"/>
    <mergeCell ref="G162:H162"/>
    <mergeCell ref="G158:H158"/>
    <mergeCell ref="G159:H159"/>
    <mergeCell ref="B157:B159"/>
    <mergeCell ref="C157:C159"/>
    <mergeCell ref="G112:H112"/>
    <mergeCell ref="G113:H113"/>
    <mergeCell ref="G114:H114"/>
    <mergeCell ref="B115:B117"/>
    <mergeCell ref="C115:C117"/>
    <mergeCell ref="G154:H154"/>
    <mergeCell ref="G155:H155"/>
    <mergeCell ref="G156:H156"/>
    <mergeCell ref="G148:H148"/>
    <mergeCell ref="G149:H149"/>
    <mergeCell ref="G150:H150"/>
    <mergeCell ref="G125:H125"/>
    <mergeCell ref="G126:H126"/>
    <mergeCell ref="B118:B120"/>
    <mergeCell ref="C118:C120"/>
    <mergeCell ref="G118:H118"/>
    <mergeCell ref="B136:B138"/>
    <mergeCell ref="C136:C138"/>
    <mergeCell ref="B89:H89"/>
    <mergeCell ref="B99:K100"/>
    <mergeCell ref="J157:K159"/>
    <mergeCell ref="J160:K162"/>
    <mergeCell ref="I112:I114"/>
    <mergeCell ref="J148:K150"/>
    <mergeCell ref="J151:K153"/>
    <mergeCell ref="J154:K156"/>
    <mergeCell ref="I154:I156"/>
    <mergeCell ref="I148:I150"/>
    <mergeCell ref="G151:H151"/>
    <mergeCell ref="C145:C147"/>
    <mergeCell ref="G145:H145"/>
    <mergeCell ref="I145:I147"/>
    <mergeCell ref="G146:H146"/>
    <mergeCell ref="G147:H147"/>
    <mergeCell ref="G127:H127"/>
    <mergeCell ref="I127:I129"/>
    <mergeCell ref="G128:H128"/>
    <mergeCell ref="G129:H129"/>
    <mergeCell ref="B91:H91"/>
    <mergeCell ref="B90:H90"/>
    <mergeCell ref="B92:H92"/>
    <mergeCell ref="B93:H93"/>
    <mergeCell ref="H174:I174"/>
    <mergeCell ref="B104:B105"/>
    <mergeCell ref="C104:C105"/>
    <mergeCell ref="D104:D105"/>
    <mergeCell ref="F104:F105"/>
    <mergeCell ref="G104:H105"/>
    <mergeCell ref="G106:H106"/>
    <mergeCell ref="G108:H108"/>
    <mergeCell ref="G109:H109"/>
    <mergeCell ref="G111:H111"/>
    <mergeCell ref="H172:I172"/>
    <mergeCell ref="H173:I173"/>
    <mergeCell ref="G163:H163"/>
    <mergeCell ref="G164:H164"/>
    <mergeCell ref="G165:H165"/>
    <mergeCell ref="I104:I105"/>
    <mergeCell ref="B106:B108"/>
    <mergeCell ref="B160:B162"/>
    <mergeCell ref="C160:C162"/>
    <mergeCell ref="I160:I162"/>
    <mergeCell ref="G160:H160"/>
    <mergeCell ref="B167:C167"/>
    <mergeCell ref="B168:C168"/>
    <mergeCell ref="B163:B165"/>
    <mergeCell ref="J163:K165"/>
    <mergeCell ref="B36:I36"/>
    <mergeCell ref="A16:L16"/>
    <mergeCell ref="I163:I165"/>
    <mergeCell ref="I142:I144"/>
    <mergeCell ref="G143:H143"/>
    <mergeCell ref="G144:H144"/>
    <mergeCell ref="I151:I153"/>
    <mergeCell ref="G152:H152"/>
    <mergeCell ref="G153:H153"/>
    <mergeCell ref="G157:H157"/>
    <mergeCell ref="I157:I159"/>
    <mergeCell ref="G124:H124"/>
    <mergeCell ref="I124:I126"/>
    <mergeCell ref="B142:B144"/>
    <mergeCell ref="C142:C144"/>
    <mergeCell ref="G142:H142"/>
    <mergeCell ref="C121:C123"/>
    <mergeCell ref="G121:H121"/>
    <mergeCell ref="I121:I123"/>
    <mergeCell ref="G122:H122"/>
    <mergeCell ref="G123:H123"/>
    <mergeCell ref="B127:B129"/>
    <mergeCell ref="C127:C129"/>
  </mergeCells>
  <conditionalFormatting sqref="G173:I174">
    <cfRule type="expression" dxfId="171" priority="13">
      <formula>$B173="/"</formula>
    </cfRule>
    <cfRule type="expression" dxfId="170" priority="14">
      <formula>$B173="No evidence required at this submission stage"</formula>
    </cfRule>
  </conditionalFormatting>
  <conditionalFormatting sqref="G74:I74">
    <cfRule type="expression" dxfId="169" priority="6">
      <formula>$B74="/"</formula>
    </cfRule>
    <cfRule type="expression" dxfId="168" priority="7">
      <formula>$B74="No evidence required at this submission stage"</formula>
    </cfRule>
  </conditionalFormatting>
  <conditionalFormatting sqref="G75:I75">
    <cfRule type="expression" dxfId="167" priority="3">
      <formula>$B75="/"</formula>
    </cfRule>
    <cfRule type="expression" dxfId="166" priority="4">
      <formula>$B75="No evidence required at this submission stage"</formula>
    </cfRule>
  </conditionalFormatting>
  <conditionalFormatting sqref="G76:I76">
    <cfRule type="expression" dxfId="165" priority="1">
      <formula>$B76="/"</formula>
    </cfRule>
    <cfRule type="expression" dxfId="164" priority="2">
      <formula>$B76="No evidence required at this submission stage"</formula>
    </cfRule>
  </conditionalFormatting>
  <dataValidations count="2">
    <dataValidation type="list" allowBlank="1" showInputMessage="1" showErrorMessage="1" sqref="G173:G174 G74:G76" xr:uid="{00000000-0002-0000-2500-000000000000}">
      <formula1>"Select,Submitted,Not submitted"</formula1>
    </dataValidation>
    <dataValidation type="list" allowBlank="1" showInputMessage="1" showErrorMessage="1" sqref="F106:G165" xr:uid="{00000000-0002-0000-2500-000001000000}">
      <formula1>"Select,Unobstructed for 8 meters,includes vegetation/sky/fauna,includes movement,multiple lines of sight"</formula1>
    </dataValidation>
  </dataValidations>
  <hyperlinks>
    <hyperlink ref="L3" location="'H&amp;C BPC'!B3" tooltip="H-BPC" display="H-BPC" xr:uid="{00000000-0004-0000-2500-000000000000}"/>
    <hyperlink ref="J2" location="'H-1 Fresh Air Supply'!B3" tooltip="H-1" display="H-1" xr:uid="{00000000-0004-0000-2500-000001000000}"/>
    <hyperlink ref="J4" location="'H-3 Interior Plants'!B3" tooltip="H-3" display="H-3" xr:uid="{00000000-0004-0000-2500-000002000000}"/>
    <hyperlink ref="J3" location="'H-2 Low-VOC Emissions '!B3" tooltip="H-2" display="H-2" xr:uid="{00000000-0004-0000-2500-000003000000}"/>
    <hyperlink ref="K2" location="'H-4 Green Cleaning'!B3" tooltip="H-4" display="H-4" xr:uid="{00000000-0004-0000-2500-000004000000}"/>
    <hyperlink ref="K4" location="'H-7 Thermal Comfort'!B3" tooltip="H-7" display="H-7" xr:uid="{00000000-0004-0000-2500-000005000000}"/>
    <hyperlink ref="K3" location="'H-5 Daylighting'!B3" tooltip="H-5" display="H-5" xr:uid="{00000000-0004-0000-2500-000006000000}"/>
  </hyperlink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tabColor rgb="FF943634"/>
  </sheetPr>
  <dimension ref="A1:P261"/>
  <sheetViews>
    <sheetView showGridLines="0" showRowColHeaders="0" zoomScaleNormal="100" workbookViewId="0">
      <pane ySplit="8" topLeftCell="A9" activePane="bottomLeft" state="frozen"/>
      <selection pane="bottomLeft" activeCell="A8" sqref="A8"/>
    </sheetView>
  </sheetViews>
  <sheetFormatPr defaultColWidth="0" defaultRowHeight="15" customHeight="1" zeroHeight="1" x14ac:dyDescent="0.25"/>
  <cols>
    <col min="1" max="1" width="4.5703125" style="35" customWidth="1"/>
    <col min="2" max="2" width="18.7109375" style="35" customWidth="1"/>
    <col min="3" max="3" width="19" style="35" customWidth="1"/>
    <col min="4" max="6" width="18.42578125" style="35" customWidth="1"/>
    <col min="7" max="7" width="22" style="35" customWidth="1"/>
    <col min="8" max="8" width="22.5703125" style="35" customWidth="1"/>
    <col min="9" max="9" width="16.85546875" style="35" customWidth="1"/>
    <col min="10" max="10" width="8.28515625" style="35" customWidth="1"/>
    <col min="11" max="12" width="8.140625" style="35" customWidth="1"/>
    <col min="13" max="16384" width="9.140625" style="35" hidden="1"/>
  </cols>
  <sheetData>
    <row r="1" spans="1:13" ht="25.5" customHeight="1" x14ac:dyDescent="0.25">
      <c r="A1" s="2110" t="s">
        <v>1691</v>
      </c>
      <c r="B1" s="2110"/>
      <c r="C1" s="2110"/>
      <c r="D1" s="2110"/>
      <c r="E1" s="2110"/>
      <c r="F1" s="2110"/>
      <c r="G1" s="2110"/>
      <c r="H1" s="2110"/>
      <c r="I1" s="2110"/>
      <c r="J1" s="2110"/>
      <c r="K1" s="2110"/>
      <c r="L1" s="2110"/>
    </row>
    <row r="2" spans="1:13" ht="15" customHeight="1" x14ac:dyDescent="0.25">
      <c r="A2" s="45"/>
      <c r="B2" s="46"/>
      <c r="C2" s="46"/>
      <c r="D2" s="46"/>
      <c r="E2" s="46"/>
      <c r="F2" s="45"/>
      <c r="G2" s="45"/>
      <c r="H2" s="1753" t="s">
        <v>1264</v>
      </c>
      <c r="I2" s="1753"/>
      <c r="J2" s="588" t="s">
        <v>26</v>
      </c>
      <c r="K2" s="588" t="s">
        <v>33</v>
      </c>
      <c r="L2" s="588"/>
    </row>
    <row r="3" spans="1:13" ht="15" customHeight="1" x14ac:dyDescent="0.25">
      <c r="A3" s="45"/>
      <c r="B3" s="46"/>
      <c r="C3" s="46"/>
      <c r="D3" s="46"/>
      <c r="E3" s="46"/>
      <c r="F3" s="45"/>
      <c r="G3" s="45"/>
      <c r="H3" s="1753"/>
      <c r="I3" s="1753"/>
      <c r="J3" s="588" t="s">
        <v>28</v>
      </c>
      <c r="K3" s="588" t="s">
        <v>205</v>
      </c>
      <c r="L3" s="588" t="s">
        <v>1686</v>
      </c>
    </row>
    <row r="4" spans="1:13" ht="15" customHeight="1" x14ac:dyDescent="0.25">
      <c r="A4" s="45"/>
      <c r="B4" s="46"/>
      <c r="C4" s="46"/>
      <c r="D4" s="46"/>
      <c r="E4" s="46"/>
      <c r="F4" s="45"/>
      <c r="G4" s="45"/>
      <c r="H4" s="1754"/>
      <c r="I4" s="1754"/>
      <c r="J4" s="588" t="s">
        <v>31</v>
      </c>
      <c r="K4" s="588" t="s">
        <v>255</v>
      </c>
      <c r="L4" s="588"/>
    </row>
    <row r="5" spans="1:13" ht="18" customHeight="1" x14ac:dyDescent="0.25">
      <c r="A5" s="1656" t="s">
        <v>2639</v>
      </c>
      <c r="B5" s="1657"/>
      <c r="C5" s="1657"/>
      <c r="D5" s="1657"/>
      <c r="E5" s="1657"/>
      <c r="F5" s="1657"/>
      <c r="G5" s="1657"/>
      <c r="H5" s="1657"/>
      <c r="I5" s="1657"/>
      <c r="J5" s="1657"/>
      <c r="K5" s="1657"/>
      <c r="L5" s="1658"/>
    </row>
    <row r="6" spans="1:13" ht="18" customHeight="1" x14ac:dyDescent="0.25">
      <c r="A6" s="1659"/>
      <c r="B6" s="1660"/>
      <c r="C6" s="1660"/>
      <c r="D6" s="1660"/>
      <c r="E6" s="1660"/>
      <c r="F6" s="1660"/>
      <c r="G6" s="1660"/>
      <c r="H6" s="1660"/>
      <c r="I6" s="1660"/>
      <c r="J6" s="1660"/>
      <c r="K6" s="1660"/>
      <c r="L6" s="1661"/>
    </row>
    <row r="7" spans="1:13" ht="18" customHeight="1" x14ac:dyDescent="0.25">
      <c r="A7" s="1662"/>
      <c r="B7" s="1663"/>
      <c r="C7" s="1663"/>
      <c r="D7" s="1663"/>
      <c r="E7" s="1663"/>
      <c r="F7" s="1663"/>
      <c r="G7" s="1663"/>
      <c r="H7" s="1663"/>
      <c r="I7" s="1663"/>
      <c r="J7" s="1663"/>
      <c r="K7" s="1663"/>
      <c r="L7" s="1664"/>
    </row>
    <row r="8" spans="1:13" ht="12" customHeight="1" x14ac:dyDescent="0.25">
      <c r="A8" s="45"/>
      <c r="B8" s="46"/>
      <c r="C8" s="46"/>
      <c r="D8" s="46"/>
      <c r="E8" s="46"/>
      <c r="F8" s="45"/>
      <c r="G8" s="45"/>
      <c r="H8" s="45"/>
      <c r="I8" s="45"/>
      <c r="J8" s="45"/>
      <c r="K8" s="45"/>
      <c r="L8" s="45"/>
    </row>
    <row r="9" spans="1:13" ht="18" customHeight="1" x14ac:dyDescent="0.25">
      <c r="A9" s="2107" t="s">
        <v>82</v>
      </c>
      <c r="B9" s="2107"/>
      <c r="C9" s="2107"/>
      <c r="D9" s="2107"/>
      <c r="E9" s="2107"/>
      <c r="F9" s="2107"/>
      <c r="G9" s="2107"/>
      <c r="H9" s="2107"/>
      <c r="I9" s="2107"/>
      <c r="J9" s="2107"/>
      <c r="K9" s="2107"/>
      <c r="L9" s="2107"/>
    </row>
    <row r="10" spans="1:13" x14ac:dyDescent="0.25">
      <c r="A10" s="45"/>
      <c r="B10" s="46"/>
      <c r="C10" s="46"/>
      <c r="D10" s="46"/>
      <c r="E10" s="46"/>
      <c r="F10" s="45"/>
      <c r="G10" s="45"/>
      <c r="H10" s="45"/>
      <c r="I10" s="45"/>
      <c r="J10" s="45"/>
      <c r="K10" s="45"/>
      <c r="L10" s="45"/>
    </row>
    <row r="11" spans="1:13" ht="21" customHeight="1" x14ac:dyDescent="0.25">
      <c r="A11" s="45"/>
      <c r="B11" s="2111" t="s">
        <v>83</v>
      </c>
      <c r="C11" s="2112"/>
      <c r="D11" s="2112"/>
      <c r="E11" s="2112"/>
      <c r="F11" s="541" t="s">
        <v>64</v>
      </c>
      <c r="G11" s="541" t="s">
        <v>16</v>
      </c>
      <c r="H11" s="47" t="s">
        <v>133</v>
      </c>
      <c r="I11" s="45"/>
      <c r="J11" s="45"/>
      <c r="K11" s="45"/>
      <c r="L11" s="45"/>
    </row>
    <row r="12" spans="1:13" ht="30" customHeight="1" x14ac:dyDescent="0.25">
      <c r="A12" s="45"/>
      <c r="B12" s="1797" t="s">
        <v>1942</v>
      </c>
      <c r="C12" s="1798"/>
      <c r="D12" s="1798"/>
      <c r="E12" s="1799"/>
      <c r="F12" s="281">
        <v>1</v>
      </c>
      <c r="G12" s="281">
        <f>C112</f>
        <v>0</v>
      </c>
      <c r="H12" s="281" t="str">
        <f>C113</f>
        <v>No</v>
      </c>
      <c r="I12" s="45"/>
      <c r="J12" s="45"/>
      <c r="K12" s="45"/>
      <c r="L12" s="45"/>
      <c r="M12" s="35" t="str">
        <f>IF(G12&lt;&gt;0,IF(H12="No","No","Yes"),"Yes")</f>
        <v>Yes</v>
      </c>
    </row>
    <row r="13" spans="1:13" ht="18.75" customHeight="1" x14ac:dyDescent="0.25">
      <c r="A13" s="45"/>
      <c r="B13" s="46"/>
      <c r="C13" s="46"/>
      <c r="D13" s="46"/>
      <c r="E13" s="46"/>
      <c r="F13" s="45"/>
      <c r="G13" s="45"/>
      <c r="H13" s="45"/>
      <c r="I13" s="45"/>
      <c r="J13" s="45"/>
      <c r="K13" s="45"/>
      <c r="L13" s="45"/>
    </row>
    <row r="14" spans="1:13" ht="18" customHeight="1" x14ac:dyDescent="0.25">
      <c r="A14" s="2107" t="s">
        <v>102</v>
      </c>
      <c r="B14" s="2107"/>
      <c r="C14" s="2107"/>
      <c r="D14" s="2107"/>
      <c r="E14" s="2107"/>
      <c r="F14" s="2107"/>
      <c r="G14" s="2107"/>
      <c r="H14" s="2107"/>
      <c r="I14" s="2107"/>
      <c r="J14" s="2107"/>
      <c r="K14" s="2107"/>
      <c r="L14" s="2107"/>
    </row>
    <row r="15" spans="1:13" x14ac:dyDescent="0.25">
      <c r="A15" s="45"/>
      <c r="B15" s="45"/>
      <c r="C15" s="45"/>
      <c r="D15" s="45"/>
      <c r="E15" s="45"/>
      <c r="F15" s="45"/>
      <c r="G15" s="45"/>
      <c r="H15" s="45"/>
      <c r="I15" s="45"/>
      <c r="J15" s="45"/>
      <c r="K15" s="45"/>
      <c r="L15" s="45"/>
      <c r="M15" s="45"/>
    </row>
    <row r="16" spans="1:13" x14ac:dyDescent="0.25">
      <c r="A16" s="45"/>
      <c r="B16" s="1860" t="s">
        <v>1644</v>
      </c>
      <c r="C16" s="1861"/>
      <c r="D16" s="1861"/>
      <c r="E16" s="1861"/>
      <c r="F16" s="1861"/>
      <c r="G16" s="1861"/>
      <c r="H16" s="1861"/>
      <c r="I16" s="1861"/>
      <c r="J16" s="1861"/>
      <c r="K16" s="1862"/>
      <c r="L16" s="45"/>
      <c r="M16" s="45"/>
    </row>
    <row r="17" spans="1:13" ht="6" customHeight="1" x14ac:dyDescent="0.25">
      <c r="A17" s="45"/>
      <c r="B17" s="852"/>
      <c r="C17" s="417"/>
      <c r="D17" s="417"/>
      <c r="E17" s="417"/>
      <c r="F17" s="417"/>
      <c r="G17" s="417"/>
      <c r="H17" s="417"/>
      <c r="I17" s="417"/>
      <c r="J17" s="417"/>
      <c r="K17" s="418"/>
      <c r="L17" s="45"/>
      <c r="M17" s="45"/>
    </row>
    <row r="18" spans="1:13" x14ac:dyDescent="0.25">
      <c r="A18" s="45"/>
      <c r="B18" s="1838" t="s">
        <v>1830</v>
      </c>
      <c r="C18" s="1839"/>
      <c r="D18" s="1839"/>
      <c r="E18" s="1839"/>
      <c r="F18" s="1839"/>
      <c r="G18" s="1839"/>
      <c r="H18" s="1839"/>
      <c r="I18" s="1839"/>
      <c r="J18" s="1839"/>
      <c r="K18" s="1840"/>
      <c r="L18" s="45"/>
      <c r="M18" s="45"/>
    </row>
    <row r="19" spans="1:13" ht="27" customHeight="1" x14ac:dyDescent="0.25">
      <c r="A19" s="45"/>
      <c r="B19" s="2238" t="s">
        <v>1641</v>
      </c>
      <c r="C19" s="2239"/>
      <c r="D19" s="2239"/>
      <c r="E19" s="2239"/>
      <c r="F19" s="2239"/>
      <c r="G19" s="2239"/>
      <c r="H19" s="2239"/>
      <c r="I19" s="2239"/>
      <c r="J19" s="2239"/>
      <c r="K19" s="2240"/>
      <c r="L19" s="45"/>
      <c r="M19" s="45"/>
    </row>
    <row r="20" spans="1:13" ht="6" customHeight="1" x14ac:dyDescent="0.25">
      <c r="A20" s="45"/>
      <c r="B20" s="947"/>
      <c r="C20" s="948"/>
      <c r="D20" s="948"/>
      <c r="E20" s="948"/>
      <c r="F20" s="948"/>
      <c r="G20" s="948"/>
      <c r="H20" s="948"/>
      <c r="I20" s="948"/>
      <c r="J20" s="948"/>
      <c r="K20" s="949"/>
      <c r="L20" s="45"/>
      <c r="M20" s="45"/>
    </row>
    <row r="21" spans="1:13" x14ac:dyDescent="0.25">
      <c r="A21" s="45"/>
      <c r="B21" s="1838" t="s">
        <v>1831</v>
      </c>
      <c r="C21" s="1839"/>
      <c r="D21" s="1839"/>
      <c r="E21" s="1839"/>
      <c r="F21" s="1839"/>
      <c r="G21" s="1839"/>
      <c r="H21" s="1839"/>
      <c r="I21" s="1839"/>
      <c r="J21" s="1839"/>
      <c r="K21" s="1840"/>
      <c r="L21" s="45"/>
      <c r="M21" s="45"/>
    </row>
    <row r="22" spans="1:13" x14ac:dyDescent="0.25">
      <c r="A22" s="45"/>
      <c r="B22" s="1838" t="s">
        <v>1647</v>
      </c>
      <c r="C22" s="1839"/>
      <c r="D22" s="1839"/>
      <c r="E22" s="1839"/>
      <c r="F22" s="1839"/>
      <c r="G22" s="1839"/>
      <c r="H22" s="1839"/>
      <c r="I22" s="1839"/>
      <c r="J22" s="1839"/>
      <c r="K22" s="1840"/>
      <c r="L22" s="45"/>
      <c r="M22" s="45"/>
    </row>
    <row r="23" spans="1:13" x14ac:dyDescent="0.25">
      <c r="A23" s="45"/>
      <c r="B23" s="2241" t="s">
        <v>1293</v>
      </c>
      <c r="C23" s="2242"/>
      <c r="D23" s="2242"/>
      <c r="E23" s="2242"/>
      <c r="F23" s="2242"/>
      <c r="G23" s="2242"/>
      <c r="H23" s="2242"/>
      <c r="I23" s="2242"/>
      <c r="J23" s="2242"/>
      <c r="K23" s="2243"/>
      <c r="L23" s="45"/>
      <c r="M23" s="45"/>
    </row>
    <row r="24" spans="1:13" x14ac:dyDescent="0.25">
      <c r="A24" s="45"/>
      <c r="B24" s="2244" t="s">
        <v>2372</v>
      </c>
      <c r="C24" s="2245"/>
      <c r="D24" s="2245"/>
      <c r="E24" s="2245"/>
      <c r="F24" s="2245"/>
      <c r="G24" s="2245"/>
      <c r="H24" s="2245"/>
      <c r="I24" s="2245"/>
      <c r="J24" s="2245"/>
      <c r="K24" s="2246"/>
      <c r="L24" s="45"/>
      <c r="M24" s="45"/>
    </row>
    <row r="25" spans="1:13" x14ac:dyDescent="0.25">
      <c r="A25" s="45"/>
      <c r="B25" s="2244" t="s">
        <v>1642</v>
      </c>
      <c r="C25" s="2245"/>
      <c r="D25" s="2245"/>
      <c r="E25" s="2245"/>
      <c r="F25" s="2245"/>
      <c r="G25" s="2245"/>
      <c r="H25" s="2245"/>
      <c r="I25" s="2245"/>
      <c r="J25" s="2245"/>
      <c r="K25" s="2246"/>
      <c r="L25" s="45"/>
      <c r="M25" s="45"/>
    </row>
    <row r="26" spans="1:13" x14ac:dyDescent="0.25">
      <c r="A26" s="45"/>
      <c r="B26" s="2244" t="s">
        <v>1643</v>
      </c>
      <c r="C26" s="2245"/>
      <c r="D26" s="2245"/>
      <c r="E26" s="2245"/>
      <c r="F26" s="2245"/>
      <c r="G26" s="2245"/>
      <c r="H26" s="2245"/>
      <c r="I26" s="2245"/>
      <c r="J26" s="2245"/>
      <c r="K26" s="2246"/>
      <c r="L26" s="45"/>
      <c r="M26" s="45"/>
    </row>
    <row r="27" spans="1:13" x14ac:dyDescent="0.25">
      <c r="A27" s="45"/>
      <c r="B27" s="2241" t="s">
        <v>1294</v>
      </c>
      <c r="C27" s="2242"/>
      <c r="D27" s="2242"/>
      <c r="E27" s="2242"/>
      <c r="F27" s="2242"/>
      <c r="G27" s="2242"/>
      <c r="H27" s="2242"/>
      <c r="I27" s="2242"/>
      <c r="J27" s="2242"/>
      <c r="K27" s="2243"/>
      <c r="L27" s="45"/>
      <c r="M27" s="45"/>
    </row>
    <row r="28" spans="1:13" x14ac:dyDescent="0.25">
      <c r="A28" s="45"/>
      <c r="B28" s="2244" t="s">
        <v>1476</v>
      </c>
      <c r="C28" s="2245"/>
      <c r="D28" s="2245"/>
      <c r="E28" s="2245"/>
      <c r="F28" s="2245"/>
      <c r="G28" s="2245"/>
      <c r="H28" s="2245"/>
      <c r="I28" s="2245"/>
      <c r="J28" s="2245"/>
      <c r="K28" s="2246"/>
      <c r="L28" s="45"/>
      <c r="M28" s="45"/>
    </row>
    <row r="29" spans="1:13" x14ac:dyDescent="0.25">
      <c r="A29" s="45"/>
      <c r="B29" s="2244" t="s">
        <v>1299</v>
      </c>
      <c r="C29" s="2245"/>
      <c r="D29" s="2245"/>
      <c r="E29" s="2245"/>
      <c r="F29" s="2245"/>
      <c r="G29" s="2245"/>
      <c r="H29" s="2245"/>
      <c r="I29" s="2245"/>
      <c r="J29" s="2245"/>
      <c r="K29" s="2246"/>
      <c r="L29" s="45"/>
      <c r="M29" s="45"/>
    </row>
    <row r="30" spans="1:13" x14ac:dyDescent="0.25">
      <c r="A30" s="45"/>
      <c r="B30" s="2241" t="s">
        <v>1295</v>
      </c>
      <c r="C30" s="2242"/>
      <c r="D30" s="2242"/>
      <c r="E30" s="2242"/>
      <c r="F30" s="2242"/>
      <c r="G30" s="2242"/>
      <c r="H30" s="2242"/>
      <c r="I30" s="2242"/>
      <c r="J30" s="2242"/>
      <c r="K30" s="2243"/>
      <c r="L30" s="45"/>
      <c r="M30" s="45"/>
    </row>
    <row r="31" spans="1:13" x14ac:dyDescent="0.25">
      <c r="A31" s="45"/>
      <c r="B31" s="2244" t="s">
        <v>2063</v>
      </c>
      <c r="C31" s="2245"/>
      <c r="D31" s="2245"/>
      <c r="E31" s="2245"/>
      <c r="F31" s="2245"/>
      <c r="G31" s="2245"/>
      <c r="H31" s="2245"/>
      <c r="I31" s="2245"/>
      <c r="J31" s="2245"/>
      <c r="K31" s="2246"/>
      <c r="L31" s="45"/>
      <c r="M31" s="45"/>
    </row>
    <row r="32" spans="1:13" x14ac:dyDescent="0.25">
      <c r="A32" s="45"/>
      <c r="B32" s="2244" t="s">
        <v>1296</v>
      </c>
      <c r="C32" s="2245"/>
      <c r="D32" s="2245"/>
      <c r="E32" s="2245"/>
      <c r="F32" s="2245"/>
      <c r="G32" s="2245"/>
      <c r="H32" s="2245"/>
      <c r="I32" s="2245"/>
      <c r="J32" s="2245"/>
      <c r="K32" s="2246"/>
      <c r="L32" s="45"/>
      <c r="M32" s="45"/>
    </row>
    <row r="33" spans="1:15" x14ac:dyDescent="0.25">
      <c r="A33" s="45"/>
      <c r="B33" s="2247" t="s">
        <v>1297</v>
      </c>
      <c r="C33" s="2248"/>
      <c r="D33" s="2248"/>
      <c r="E33" s="2248"/>
      <c r="F33" s="2248"/>
      <c r="G33" s="2248"/>
      <c r="H33" s="2248"/>
      <c r="I33" s="2248"/>
      <c r="J33" s="2248"/>
      <c r="K33" s="2249"/>
      <c r="L33" s="45"/>
      <c r="M33" s="45"/>
    </row>
    <row r="34" spans="1:15" x14ac:dyDescent="0.25">
      <c r="A34" s="45"/>
      <c r="B34" s="45"/>
      <c r="C34" s="45"/>
      <c r="D34" s="45"/>
      <c r="E34" s="45"/>
      <c r="F34" s="45"/>
      <c r="G34" s="45"/>
      <c r="H34" s="45"/>
      <c r="I34" s="45"/>
      <c r="J34" s="45"/>
      <c r="K34" s="45"/>
      <c r="L34" s="45"/>
      <c r="M34" s="45"/>
    </row>
    <row r="35" spans="1:15" x14ac:dyDescent="0.25">
      <c r="A35" s="45"/>
      <c r="B35" s="1836" t="s">
        <v>1360</v>
      </c>
      <c r="C35" s="1836"/>
      <c r="D35" s="1836"/>
      <c r="E35" s="1836"/>
      <c r="F35" s="1836"/>
      <c r="G35" s="1836"/>
      <c r="H35" s="1836"/>
      <c r="I35" s="45"/>
      <c r="J35" s="45"/>
      <c r="K35" s="45"/>
      <c r="L35" s="45"/>
      <c r="M35" s="45"/>
    </row>
    <row r="36" spans="1:15" ht="15" customHeight="1" x14ac:dyDescent="0.25">
      <c r="A36" s="45"/>
      <c r="B36" s="46"/>
      <c r="C36" s="46"/>
      <c r="D36" s="46"/>
      <c r="E36" s="46"/>
      <c r="F36" s="45"/>
      <c r="G36" s="45"/>
      <c r="H36" s="45"/>
      <c r="I36" s="45"/>
      <c r="J36" s="45"/>
      <c r="K36" s="45"/>
      <c r="L36" s="45"/>
      <c r="M36" s="45"/>
    </row>
    <row r="37" spans="1:15" ht="25.5" x14ac:dyDescent="0.25">
      <c r="A37" s="45"/>
      <c r="B37" s="2104" t="s">
        <v>1355</v>
      </c>
      <c r="C37" s="2105"/>
      <c r="D37" s="807" t="s">
        <v>1359</v>
      </c>
      <c r="E37" s="46"/>
      <c r="F37" s="45"/>
      <c r="G37" s="45"/>
      <c r="H37" s="45"/>
      <c r="I37" s="45"/>
      <c r="J37" s="45"/>
      <c r="K37" s="45"/>
      <c r="L37" s="45"/>
      <c r="M37" s="45"/>
    </row>
    <row r="38" spans="1:15" ht="17.25" customHeight="1" x14ac:dyDescent="0.25">
      <c r="A38" s="45"/>
      <c r="B38" s="1648" t="s">
        <v>1417</v>
      </c>
      <c r="C38" s="1650"/>
      <c r="D38" s="803" t="s">
        <v>53</v>
      </c>
      <c r="E38" s="46"/>
      <c r="F38" s="45"/>
      <c r="G38" s="45"/>
      <c r="H38" s="45"/>
      <c r="I38" s="45"/>
      <c r="J38" s="45"/>
      <c r="K38" s="45"/>
      <c r="L38" s="45"/>
      <c r="M38" s="45"/>
    </row>
    <row r="39" spans="1:15" ht="17.25" customHeight="1" x14ac:dyDescent="0.25">
      <c r="A39" s="45"/>
      <c r="B39" s="1648" t="s">
        <v>1431</v>
      </c>
      <c r="C39" s="1650"/>
      <c r="D39" s="803" t="s">
        <v>53</v>
      </c>
      <c r="E39" s="46"/>
      <c r="F39" s="45"/>
      <c r="G39" s="45"/>
      <c r="H39" s="45"/>
      <c r="I39" s="45"/>
      <c r="J39" s="45"/>
      <c r="K39" s="45"/>
      <c r="L39" s="45"/>
      <c r="M39" s="45"/>
    </row>
    <row r="40" spans="1:15" ht="17.25" customHeight="1" x14ac:dyDescent="0.25">
      <c r="A40" s="45"/>
      <c r="B40" s="1648" t="s">
        <v>1358</v>
      </c>
      <c r="C40" s="1650"/>
      <c r="D40" s="803" t="s">
        <v>53</v>
      </c>
      <c r="E40" s="46"/>
      <c r="F40" s="45"/>
      <c r="G40" s="45"/>
      <c r="H40" s="45"/>
      <c r="I40" s="45"/>
      <c r="J40" s="45"/>
      <c r="K40" s="45"/>
      <c r="L40" s="45"/>
      <c r="M40" s="45"/>
    </row>
    <row r="41" spans="1:15" ht="15" customHeight="1" x14ac:dyDescent="0.25">
      <c r="A41" s="45"/>
      <c r="B41" s="535"/>
      <c r="C41" s="45"/>
      <c r="D41" s="45"/>
      <c r="E41" s="45"/>
      <c r="F41" s="45"/>
      <c r="G41" s="45"/>
      <c r="H41" s="45"/>
      <c r="I41" s="45"/>
      <c r="J41" s="45"/>
      <c r="K41" s="45"/>
      <c r="L41" s="45"/>
      <c r="M41" s="45"/>
    </row>
    <row r="42" spans="1:15" x14ac:dyDescent="0.25">
      <c r="A42" s="45"/>
      <c r="B42" s="535" t="s">
        <v>1298</v>
      </c>
      <c r="C42" s="45"/>
      <c r="D42" s="45"/>
      <c r="E42" s="45"/>
      <c r="F42" s="45"/>
      <c r="G42" s="45"/>
      <c r="H42" s="45"/>
      <c r="I42" s="45"/>
      <c r="J42" s="45"/>
      <c r="K42" s="45"/>
      <c r="L42" s="45"/>
      <c r="M42" s="45"/>
    </row>
    <row r="43" spans="1:15" x14ac:dyDescent="0.25">
      <c r="A43" s="45"/>
      <c r="B43" s="45"/>
      <c r="C43" s="45"/>
      <c r="D43" s="45"/>
      <c r="E43" s="45"/>
      <c r="F43" s="45"/>
      <c r="G43" s="45"/>
      <c r="H43" s="45"/>
      <c r="I43" s="45"/>
      <c r="J43" s="45"/>
      <c r="K43" s="45"/>
      <c r="L43" s="45"/>
      <c r="M43" s="45"/>
    </row>
    <row r="44" spans="1:15" x14ac:dyDescent="0.25">
      <c r="A44" s="45"/>
      <c r="B44" s="324" t="s">
        <v>1283</v>
      </c>
      <c r="C44" s="45"/>
      <c r="D44" s="45"/>
      <c r="E44" s="45"/>
      <c r="F44" s="45"/>
      <c r="G44" s="45"/>
      <c r="H44" s="45"/>
      <c r="I44" s="45"/>
      <c r="J44" s="45"/>
      <c r="K44" s="45"/>
      <c r="L44" s="45"/>
      <c r="M44" s="45"/>
    </row>
    <row r="45" spans="1:15" x14ac:dyDescent="0.25">
      <c r="A45" s="45"/>
      <c r="B45" s="324"/>
      <c r="C45" s="45"/>
      <c r="D45" s="45"/>
      <c r="E45" s="45"/>
      <c r="F45" s="45"/>
      <c r="G45" s="45"/>
      <c r="H45" s="45"/>
      <c r="I45" s="45"/>
      <c r="J45" s="45"/>
      <c r="K45" s="45"/>
      <c r="L45" s="45"/>
      <c r="M45" s="45"/>
    </row>
    <row r="46" spans="1:15" ht="17.25" customHeight="1" x14ac:dyDescent="0.25">
      <c r="A46" s="46"/>
      <c r="B46" s="535" t="s">
        <v>1646</v>
      </c>
      <c r="C46" s="46"/>
      <c r="D46" s="46"/>
      <c r="E46" s="46"/>
      <c r="F46" s="46"/>
      <c r="G46" s="46"/>
      <c r="H46" s="46"/>
      <c r="I46" s="46"/>
      <c r="J46" s="46"/>
      <c r="K46" s="46"/>
      <c r="L46" s="46"/>
      <c r="M46" s="46"/>
    </row>
    <row r="47" spans="1:15" ht="12.75" customHeight="1" x14ac:dyDescent="0.25">
      <c r="A47" s="46"/>
      <c r="B47" s="46"/>
      <c r="C47" s="45"/>
      <c r="D47" s="45"/>
      <c r="E47" s="45"/>
      <c r="F47" s="45"/>
      <c r="G47" s="45"/>
      <c r="H47" s="45"/>
      <c r="I47" s="45"/>
      <c r="J47" s="45"/>
      <c r="K47" s="45"/>
      <c r="L47" s="45"/>
      <c r="M47" s="45"/>
    </row>
    <row r="48" spans="1:15" ht="27" customHeight="1" x14ac:dyDescent="0.25">
      <c r="A48" s="46"/>
      <c r="B48" s="952" t="s">
        <v>1242</v>
      </c>
      <c r="C48" s="831" t="s">
        <v>158</v>
      </c>
      <c r="D48" s="951" t="s">
        <v>1243</v>
      </c>
      <c r="E48" s="951" t="s">
        <v>1245</v>
      </c>
      <c r="F48" s="951" t="s">
        <v>1244</v>
      </c>
      <c r="G48" s="2127" t="s">
        <v>12</v>
      </c>
      <c r="H48" s="2128"/>
      <c r="I48" s="532"/>
      <c r="J48" s="45"/>
      <c r="K48" s="45"/>
      <c r="L48" s="45"/>
      <c r="M48" s="45"/>
      <c r="N48" s="45"/>
      <c r="O48" s="35" t="s">
        <v>1645</v>
      </c>
    </row>
    <row r="49" spans="1:15" x14ac:dyDescent="0.25">
      <c r="A49" s="46"/>
      <c r="B49" s="944"/>
      <c r="C49" s="944"/>
      <c r="D49" s="945" t="s">
        <v>53</v>
      </c>
      <c r="E49" s="945" t="s">
        <v>53</v>
      </c>
      <c r="F49" s="945" t="s">
        <v>53</v>
      </c>
      <c r="G49" s="1689"/>
      <c r="H49" s="1690"/>
      <c r="I49" s="45"/>
      <c r="J49" s="45"/>
      <c r="K49" s="45"/>
      <c r="L49" s="45"/>
      <c r="M49" s="45"/>
      <c r="N49" s="45" t="str">
        <f t="shared" ref="N49:N68" si="0">IF(B49&lt;&gt;"",IF(AND(D49&lt;&gt;"Select",E49="Yes",F49&lt;&gt;"Select"),"Yes","No"),"-")</f>
        <v>-</v>
      </c>
      <c r="O49" s="35">
        <f t="shared" ref="O49:O68" si="1">IF(N49="Yes",C49,0)</f>
        <v>0</v>
      </c>
    </row>
    <row r="50" spans="1:15" x14ac:dyDescent="0.25">
      <c r="A50" s="46"/>
      <c r="B50" s="944"/>
      <c r="C50" s="944"/>
      <c r="D50" s="945" t="s">
        <v>53</v>
      </c>
      <c r="E50" s="945" t="s">
        <v>53</v>
      </c>
      <c r="F50" s="945" t="s">
        <v>53</v>
      </c>
      <c r="G50" s="1689"/>
      <c r="H50" s="1690"/>
      <c r="I50" s="45"/>
      <c r="J50" s="45"/>
      <c r="K50" s="45"/>
      <c r="L50" s="45"/>
      <c r="M50" s="45"/>
      <c r="N50" s="45" t="str">
        <f t="shared" si="0"/>
        <v>-</v>
      </c>
      <c r="O50" s="35">
        <f t="shared" si="1"/>
        <v>0</v>
      </c>
    </row>
    <row r="51" spans="1:15" x14ac:dyDescent="0.25">
      <c r="A51" s="46"/>
      <c r="B51" s="944"/>
      <c r="C51" s="944"/>
      <c r="D51" s="945" t="s">
        <v>53</v>
      </c>
      <c r="E51" s="945" t="s">
        <v>53</v>
      </c>
      <c r="F51" s="945" t="s">
        <v>53</v>
      </c>
      <c r="G51" s="1739"/>
      <c r="H51" s="2103"/>
      <c r="I51" s="45"/>
      <c r="J51" s="45"/>
      <c r="K51" s="45"/>
      <c r="L51" s="45"/>
      <c r="M51" s="45"/>
      <c r="N51" s="45" t="str">
        <f t="shared" si="0"/>
        <v>-</v>
      </c>
      <c r="O51" s="35">
        <f t="shared" si="1"/>
        <v>0</v>
      </c>
    </row>
    <row r="52" spans="1:15" x14ac:dyDescent="0.25">
      <c r="A52" s="45"/>
      <c r="B52" s="944"/>
      <c r="C52" s="944"/>
      <c r="D52" s="945" t="s">
        <v>53</v>
      </c>
      <c r="E52" s="945" t="s">
        <v>53</v>
      </c>
      <c r="F52" s="945" t="s">
        <v>53</v>
      </c>
      <c r="G52" s="1739"/>
      <c r="H52" s="2103"/>
      <c r="I52" s="45"/>
      <c r="J52" s="45"/>
      <c r="K52" s="45"/>
      <c r="L52" s="45"/>
      <c r="M52" s="45"/>
      <c r="N52" s="45" t="str">
        <f t="shared" si="0"/>
        <v>-</v>
      </c>
      <c r="O52" s="35">
        <f t="shared" si="1"/>
        <v>0</v>
      </c>
    </row>
    <row r="53" spans="1:15" x14ac:dyDescent="0.25">
      <c r="A53" s="45"/>
      <c r="B53" s="944"/>
      <c r="C53" s="944"/>
      <c r="D53" s="945" t="s">
        <v>53</v>
      </c>
      <c r="E53" s="945" t="s">
        <v>53</v>
      </c>
      <c r="F53" s="945" t="s">
        <v>53</v>
      </c>
      <c r="G53" s="1689"/>
      <c r="H53" s="1690"/>
      <c r="I53" s="445"/>
      <c r="J53" s="445"/>
      <c r="K53" s="45"/>
      <c r="L53" s="45"/>
      <c r="M53" s="45"/>
      <c r="N53" s="45" t="str">
        <f t="shared" si="0"/>
        <v>-</v>
      </c>
      <c r="O53" s="35">
        <f t="shared" si="1"/>
        <v>0</v>
      </c>
    </row>
    <row r="54" spans="1:15" x14ac:dyDescent="0.25">
      <c r="A54" s="45"/>
      <c r="B54" s="1189"/>
      <c r="C54" s="1189"/>
      <c r="D54" s="1190" t="s">
        <v>53</v>
      </c>
      <c r="E54" s="1190" t="s">
        <v>53</v>
      </c>
      <c r="F54" s="1190" t="s">
        <v>53</v>
      </c>
      <c r="G54" s="1689"/>
      <c r="H54" s="1690"/>
      <c r="I54" s="445"/>
      <c r="J54" s="445"/>
      <c r="K54" s="45"/>
      <c r="L54" s="45"/>
      <c r="M54" s="45"/>
      <c r="N54" s="45" t="str">
        <f t="shared" ref="N54:N58" si="2">IF(B54&lt;&gt;"",IF(AND(D54&lt;&gt;"Select",E54="Yes",F54&lt;&gt;"Select"),"Yes","No"),"-")</f>
        <v>-</v>
      </c>
      <c r="O54" s="35">
        <f t="shared" ref="O54:O58" si="3">IF(N54="Yes",C54,0)</f>
        <v>0</v>
      </c>
    </row>
    <row r="55" spans="1:15" x14ac:dyDescent="0.25">
      <c r="A55" s="45"/>
      <c r="B55" s="1189"/>
      <c r="C55" s="1189"/>
      <c r="D55" s="1190" t="s">
        <v>53</v>
      </c>
      <c r="E55" s="1190" t="s">
        <v>53</v>
      </c>
      <c r="F55" s="1190" t="s">
        <v>53</v>
      </c>
      <c r="G55" s="1689"/>
      <c r="H55" s="1690"/>
      <c r="I55" s="445"/>
      <c r="J55" s="445"/>
      <c r="K55" s="45"/>
      <c r="L55" s="45"/>
      <c r="M55" s="45"/>
      <c r="N55" s="45" t="str">
        <f t="shared" si="2"/>
        <v>-</v>
      </c>
      <c r="O55" s="35">
        <f>IF(N55="Yes",C55,0)</f>
        <v>0</v>
      </c>
    </row>
    <row r="56" spans="1:15" x14ac:dyDescent="0.25">
      <c r="A56" s="45"/>
      <c r="B56" s="1189"/>
      <c r="C56" s="1189"/>
      <c r="D56" s="1190" t="s">
        <v>53</v>
      </c>
      <c r="E56" s="1190" t="s">
        <v>53</v>
      </c>
      <c r="F56" s="1190" t="s">
        <v>53</v>
      </c>
      <c r="G56" s="1689"/>
      <c r="H56" s="1690"/>
      <c r="I56" s="445"/>
      <c r="J56" s="445"/>
      <c r="K56" s="45"/>
      <c r="L56" s="45"/>
      <c r="M56" s="45"/>
      <c r="N56" s="45" t="str">
        <f t="shared" si="2"/>
        <v>-</v>
      </c>
      <c r="O56" s="35">
        <f t="shared" si="3"/>
        <v>0</v>
      </c>
    </row>
    <row r="57" spans="1:15" x14ac:dyDescent="0.25">
      <c r="A57" s="45"/>
      <c r="B57" s="1189"/>
      <c r="C57" s="1189"/>
      <c r="D57" s="1190" t="s">
        <v>53</v>
      </c>
      <c r="E57" s="1190" t="s">
        <v>53</v>
      </c>
      <c r="F57" s="1190" t="s">
        <v>53</v>
      </c>
      <c r="G57" s="1689"/>
      <c r="H57" s="1690"/>
      <c r="I57" s="445"/>
      <c r="J57" s="445"/>
      <c r="K57" s="45"/>
      <c r="L57" s="45"/>
      <c r="M57" s="45"/>
      <c r="N57" s="45" t="str">
        <f t="shared" si="2"/>
        <v>-</v>
      </c>
      <c r="O57" s="35">
        <f>IF(N57="Yes",C57,0)</f>
        <v>0</v>
      </c>
    </row>
    <row r="58" spans="1:15" x14ac:dyDescent="0.25">
      <c r="A58" s="45"/>
      <c r="B58" s="1189"/>
      <c r="C58" s="1189"/>
      <c r="D58" s="1190" t="s">
        <v>53</v>
      </c>
      <c r="E58" s="1190" t="s">
        <v>53</v>
      </c>
      <c r="F58" s="1190" t="s">
        <v>53</v>
      </c>
      <c r="G58" s="1689"/>
      <c r="H58" s="1690"/>
      <c r="I58" s="445"/>
      <c r="J58" s="445"/>
      <c r="K58" s="45"/>
      <c r="L58" s="45"/>
      <c r="M58" s="45"/>
      <c r="N58" s="45" t="str">
        <f t="shared" si="2"/>
        <v>-</v>
      </c>
      <c r="O58" s="35">
        <f t="shared" si="3"/>
        <v>0</v>
      </c>
    </row>
    <row r="59" spans="1:15" x14ac:dyDescent="0.25">
      <c r="A59" s="45"/>
      <c r="B59" s="944"/>
      <c r="C59" s="944"/>
      <c r="D59" s="945" t="s">
        <v>53</v>
      </c>
      <c r="E59" s="945" t="s">
        <v>53</v>
      </c>
      <c r="F59" s="945" t="s">
        <v>53</v>
      </c>
      <c r="G59" s="1689"/>
      <c r="H59" s="1690"/>
      <c r="I59" s="445"/>
      <c r="J59" s="445"/>
      <c r="K59" s="45"/>
      <c r="L59" s="45"/>
      <c r="M59" s="45"/>
      <c r="N59" s="45" t="str">
        <f t="shared" si="0"/>
        <v>-</v>
      </c>
      <c r="O59" s="35">
        <f t="shared" si="1"/>
        <v>0</v>
      </c>
    </row>
    <row r="60" spans="1:15" x14ac:dyDescent="0.25">
      <c r="A60" s="45"/>
      <c r="B60" s="944"/>
      <c r="C60" s="944"/>
      <c r="D60" s="945" t="s">
        <v>53</v>
      </c>
      <c r="E60" s="945" t="s">
        <v>53</v>
      </c>
      <c r="F60" s="945" t="s">
        <v>53</v>
      </c>
      <c r="G60" s="1689"/>
      <c r="H60" s="1690"/>
      <c r="I60" s="445"/>
      <c r="J60" s="445"/>
      <c r="K60" s="45"/>
      <c r="L60" s="45"/>
      <c r="M60" s="45"/>
      <c r="N60" s="45" t="str">
        <f t="shared" si="0"/>
        <v>-</v>
      </c>
      <c r="O60" s="35">
        <f>IF(N60="Yes",C60,0)</f>
        <v>0</v>
      </c>
    </row>
    <row r="61" spans="1:15" x14ac:dyDescent="0.25">
      <c r="A61" s="45"/>
      <c r="B61" s="944"/>
      <c r="C61" s="944"/>
      <c r="D61" s="945" t="s">
        <v>53</v>
      </c>
      <c r="E61" s="945" t="s">
        <v>53</v>
      </c>
      <c r="F61" s="945" t="s">
        <v>53</v>
      </c>
      <c r="G61" s="1689"/>
      <c r="H61" s="1690"/>
      <c r="I61" s="445"/>
      <c r="J61" s="445"/>
      <c r="K61" s="45"/>
      <c r="L61" s="45"/>
      <c r="M61" s="45"/>
      <c r="N61" s="45" t="str">
        <f t="shared" si="0"/>
        <v>-</v>
      </c>
      <c r="O61" s="35">
        <f t="shared" si="1"/>
        <v>0</v>
      </c>
    </row>
    <row r="62" spans="1:15" x14ac:dyDescent="0.25">
      <c r="A62" s="45"/>
      <c r="B62" s="944"/>
      <c r="C62" s="944"/>
      <c r="D62" s="945" t="s">
        <v>53</v>
      </c>
      <c r="E62" s="945" t="s">
        <v>53</v>
      </c>
      <c r="F62" s="945" t="s">
        <v>53</v>
      </c>
      <c r="G62" s="1689"/>
      <c r="H62" s="1690"/>
      <c r="I62" s="445"/>
      <c r="J62" s="445"/>
      <c r="K62" s="45"/>
      <c r="L62" s="45"/>
      <c r="M62" s="45"/>
      <c r="N62" s="45" t="str">
        <f t="shared" si="0"/>
        <v>-</v>
      </c>
      <c r="O62" s="35">
        <f t="shared" si="1"/>
        <v>0</v>
      </c>
    </row>
    <row r="63" spans="1:15" x14ac:dyDescent="0.25">
      <c r="A63" s="45"/>
      <c r="B63" s="944"/>
      <c r="C63" s="944"/>
      <c r="D63" s="945" t="s">
        <v>53</v>
      </c>
      <c r="E63" s="945" t="s">
        <v>53</v>
      </c>
      <c r="F63" s="945" t="s">
        <v>53</v>
      </c>
      <c r="G63" s="1689"/>
      <c r="H63" s="1690"/>
      <c r="I63" s="445"/>
      <c r="J63" s="445"/>
      <c r="K63" s="45"/>
      <c r="L63" s="45"/>
      <c r="M63" s="45"/>
      <c r="N63" s="45" t="str">
        <f t="shared" si="0"/>
        <v>-</v>
      </c>
      <c r="O63" s="35">
        <f t="shared" si="1"/>
        <v>0</v>
      </c>
    </row>
    <row r="64" spans="1:15" x14ac:dyDescent="0.25">
      <c r="A64" s="45"/>
      <c r="B64" s="944"/>
      <c r="C64" s="944"/>
      <c r="D64" s="945" t="s">
        <v>53</v>
      </c>
      <c r="E64" s="945" t="s">
        <v>53</v>
      </c>
      <c r="F64" s="945" t="s">
        <v>53</v>
      </c>
      <c r="G64" s="1689"/>
      <c r="H64" s="1690"/>
      <c r="I64" s="445"/>
      <c r="J64" s="445"/>
      <c r="K64" s="45"/>
      <c r="L64" s="45"/>
      <c r="M64" s="45"/>
      <c r="N64" s="45" t="str">
        <f t="shared" si="0"/>
        <v>-</v>
      </c>
      <c r="O64" s="35">
        <f t="shared" si="1"/>
        <v>0</v>
      </c>
    </row>
    <row r="65" spans="1:15" x14ac:dyDescent="0.25">
      <c r="A65" s="45"/>
      <c r="B65" s="944"/>
      <c r="C65" s="944"/>
      <c r="D65" s="945" t="s">
        <v>53</v>
      </c>
      <c r="E65" s="945" t="s">
        <v>53</v>
      </c>
      <c r="F65" s="945" t="s">
        <v>53</v>
      </c>
      <c r="G65" s="1689"/>
      <c r="H65" s="1690"/>
      <c r="I65" s="445"/>
      <c r="J65" s="445"/>
      <c r="K65" s="45"/>
      <c r="L65" s="45"/>
      <c r="M65" s="45"/>
      <c r="N65" s="45" t="str">
        <f t="shared" si="0"/>
        <v>-</v>
      </c>
      <c r="O65" s="35">
        <f t="shared" si="1"/>
        <v>0</v>
      </c>
    </row>
    <row r="66" spans="1:15" x14ac:dyDescent="0.25">
      <c r="A66" s="45"/>
      <c r="B66" s="944"/>
      <c r="C66" s="944"/>
      <c r="D66" s="945" t="s">
        <v>53</v>
      </c>
      <c r="E66" s="945" t="s">
        <v>53</v>
      </c>
      <c r="F66" s="945" t="s">
        <v>53</v>
      </c>
      <c r="G66" s="1689"/>
      <c r="H66" s="1690"/>
      <c r="I66" s="445"/>
      <c r="J66" s="445"/>
      <c r="K66" s="45"/>
      <c r="L66" s="45"/>
      <c r="M66" s="45"/>
      <c r="N66" s="45" t="str">
        <f t="shared" si="0"/>
        <v>-</v>
      </c>
      <c r="O66" s="35">
        <f t="shared" si="1"/>
        <v>0</v>
      </c>
    </row>
    <row r="67" spans="1:15" x14ac:dyDescent="0.25">
      <c r="A67" s="45"/>
      <c r="B67" s="944"/>
      <c r="C67" s="944"/>
      <c r="D67" s="945" t="s">
        <v>53</v>
      </c>
      <c r="E67" s="945" t="s">
        <v>53</v>
      </c>
      <c r="F67" s="945" t="s">
        <v>53</v>
      </c>
      <c r="G67" s="1689"/>
      <c r="H67" s="1690"/>
      <c r="I67" s="445"/>
      <c r="J67" s="445"/>
      <c r="K67" s="45"/>
      <c r="L67" s="45"/>
      <c r="M67" s="45"/>
      <c r="N67" s="45" t="str">
        <f t="shared" si="0"/>
        <v>-</v>
      </c>
      <c r="O67" s="35">
        <f t="shared" si="1"/>
        <v>0</v>
      </c>
    </row>
    <row r="68" spans="1:15" x14ac:dyDescent="0.25">
      <c r="A68" s="45"/>
      <c r="B68" s="944"/>
      <c r="C68" s="944"/>
      <c r="D68" s="945" t="s">
        <v>53</v>
      </c>
      <c r="E68" s="945" t="s">
        <v>53</v>
      </c>
      <c r="F68" s="945" t="s">
        <v>53</v>
      </c>
      <c r="G68" s="1689"/>
      <c r="H68" s="1690"/>
      <c r="I68" s="445"/>
      <c r="J68" s="445"/>
      <c r="K68" s="45"/>
      <c r="L68" s="45"/>
      <c r="M68" s="45"/>
      <c r="N68" s="45" t="str">
        <f t="shared" si="0"/>
        <v>-</v>
      </c>
      <c r="O68" s="35">
        <f t="shared" si="1"/>
        <v>0</v>
      </c>
    </row>
    <row r="69" spans="1:15" x14ac:dyDescent="0.25">
      <c r="A69" s="45"/>
      <c r="B69" s="45"/>
      <c r="C69" s="45"/>
      <c r="D69" s="45"/>
      <c r="E69" s="45"/>
      <c r="F69" s="45"/>
      <c r="G69" s="953"/>
      <c r="H69" s="953"/>
      <c r="I69" s="953"/>
      <c r="J69" s="953"/>
      <c r="K69" s="45"/>
      <c r="L69" s="45"/>
      <c r="N69" s="35" t="s">
        <v>1429</v>
      </c>
      <c r="O69" s="35" t="s">
        <v>1430</v>
      </c>
    </row>
    <row r="70" spans="1:15" ht="14.25" customHeight="1" x14ac:dyDescent="0.25">
      <c r="A70" s="46"/>
      <c r="B70" s="324" t="s">
        <v>1284</v>
      </c>
      <c r="C70" s="45"/>
      <c r="D70" s="45"/>
      <c r="E70" s="45"/>
      <c r="F70" s="45"/>
      <c r="G70" s="45"/>
      <c r="H70" s="45"/>
      <c r="I70" s="45"/>
      <c r="J70" s="45"/>
      <c r="K70" s="45"/>
      <c r="L70" s="45"/>
      <c r="N70" s="35">
        <f>SUM(C49:C68)</f>
        <v>0</v>
      </c>
      <c r="O70" s="35">
        <f>SUM(O49:O68)</f>
        <v>0</v>
      </c>
    </row>
    <row r="71" spans="1:15" x14ac:dyDescent="0.25">
      <c r="A71" s="45"/>
      <c r="B71" s="46"/>
      <c r="C71" s="46"/>
      <c r="D71" s="46"/>
      <c r="E71" s="46"/>
      <c r="F71" s="45"/>
      <c r="G71" s="45"/>
      <c r="H71" s="45"/>
      <c r="I71" s="45"/>
      <c r="J71" s="45"/>
      <c r="K71" s="45"/>
      <c r="L71" s="45"/>
    </row>
    <row r="72" spans="1:15" x14ac:dyDescent="0.25">
      <c r="A72" s="45"/>
      <c r="B72" s="535" t="s">
        <v>1416</v>
      </c>
      <c r="C72" s="46"/>
      <c r="D72" s="46"/>
      <c r="E72" s="46"/>
      <c r="F72" s="45"/>
      <c r="G72" s="45"/>
      <c r="H72" s="45"/>
      <c r="I72" s="45"/>
      <c r="J72" s="45"/>
      <c r="K72" s="45"/>
      <c r="L72" s="45"/>
    </row>
    <row r="73" spans="1:15" ht="12" customHeight="1" x14ac:dyDescent="0.25">
      <c r="A73" s="45"/>
      <c r="B73" s="46"/>
      <c r="C73" s="46"/>
      <c r="D73" s="46"/>
      <c r="E73" s="46"/>
      <c r="F73" s="45"/>
      <c r="G73" s="45"/>
      <c r="H73" s="45"/>
      <c r="I73" s="45"/>
      <c r="J73" s="45"/>
      <c r="K73" s="45"/>
      <c r="L73" s="45"/>
    </row>
    <row r="74" spans="1:15" ht="28.5" customHeight="1" x14ac:dyDescent="0.25">
      <c r="A74" s="45"/>
      <c r="B74" s="808" t="s">
        <v>1242</v>
      </c>
      <c r="C74" s="831" t="s">
        <v>158</v>
      </c>
      <c r="D74" s="807" t="s">
        <v>1426</v>
      </c>
      <c r="E74" s="807" t="s">
        <v>1427</v>
      </c>
      <c r="F74" s="827" t="s">
        <v>1428</v>
      </c>
      <c r="G74" s="806" t="s">
        <v>77</v>
      </c>
      <c r="H74" s="45"/>
      <c r="I74" s="45"/>
      <c r="J74" s="45"/>
      <c r="K74" s="45"/>
      <c r="L74" s="45"/>
      <c r="M74" s="45"/>
    </row>
    <row r="75" spans="1:15" x14ac:dyDescent="0.25">
      <c r="A75" s="45"/>
      <c r="B75" s="803"/>
      <c r="C75" s="825"/>
      <c r="D75" s="803" t="s">
        <v>53</v>
      </c>
      <c r="E75" s="803" t="s">
        <v>53</v>
      </c>
      <c r="F75" s="803" t="s">
        <v>53</v>
      </c>
      <c r="G75" s="166" t="str">
        <f>IF(AND(E75&lt;&gt;"No",F75&lt;&gt;"No",D75&lt;&gt;"No",E75&lt;&gt;"Select",F75&lt;&gt;"Select",D75&lt;&gt;"Select"),"Yes","No")</f>
        <v>No</v>
      </c>
      <c r="H75" s="45"/>
      <c r="I75" s="45"/>
      <c r="J75" s="45"/>
      <c r="K75" s="45"/>
      <c r="L75" s="45"/>
      <c r="M75" s="45"/>
    </row>
    <row r="76" spans="1:15" x14ac:dyDescent="0.25">
      <c r="A76" s="45"/>
      <c r="B76" s="815"/>
      <c r="C76" s="825"/>
      <c r="D76" s="944" t="s">
        <v>53</v>
      </c>
      <c r="E76" s="825" t="s">
        <v>53</v>
      </c>
      <c r="F76" s="825" t="s">
        <v>53</v>
      </c>
      <c r="G76" s="166" t="str">
        <f t="shared" ref="G76:G90" si="4">IF(AND(E76&lt;&gt;"",F76&lt;&gt;"",D76&lt;&gt;"",E76&lt;&gt;"Select",F76&lt;&gt;"Select",D76&lt;&gt;"Select"),"Yes","No")</f>
        <v>No</v>
      </c>
      <c r="H76" s="45"/>
      <c r="I76" s="45"/>
      <c r="J76" s="45"/>
      <c r="K76" s="45"/>
      <c r="L76" s="45"/>
      <c r="M76" s="45"/>
    </row>
    <row r="77" spans="1:15" x14ac:dyDescent="0.25">
      <c r="A77" s="45"/>
      <c r="B77" s="815"/>
      <c r="C77" s="825"/>
      <c r="D77" s="944" t="s">
        <v>53</v>
      </c>
      <c r="E77" s="825" t="s">
        <v>53</v>
      </c>
      <c r="F77" s="825" t="s">
        <v>53</v>
      </c>
      <c r="G77" s="166" t="str">
        <f t="shared" si="4"/>
        <v>No</v>
      </c>
      <c r="H77" s="45"/>
      <c r="I77" s="45"/>
      <c r="J77" s="45"/>
      <c r="K77" s="45"/>
      <c r="L77" s="45"/>
      <c r="M77" s="45"/>
    </row>
    <row r="78" spans="1:15" x14ac:dyDescent="0.25">
      <c r="A78" s="45"/>
      <c r="B78" s="815"/>
      <c r="C78" s="825"/>
      <c r="D78" s="944" t="s">
        <v>53</v>
      </c>
      <c r="E78" s="825" t="s">
        <v>53</v>
      </c>
      <c r="F78" s="825" t="s">
        <v>53</v>
      </c>
      <c r="G78" s="166" t="str">
        <f t="shared" ref="G78:G86" si="5">IF(AND(E78&lt;&gt;"",F78&lt;&gt;"",D78&lt;&gt;"",E78&lt;&gt;"Select",F78&lt;&gt;"Select",D78&lt;&gt;"Select"),"Yes","No")</f>
        <v>No</v>
      </c>
      <c r="H78" s="45"/>
      <c r="I78" s="45"/>
      <c r="J78" s="45"/>
      <c r="K78" s="45"/>
      <c r="L78" s="45"/>
      <c r="M78" s="45"/>
    </row>
    <row r="79" spans="1:15" x14ac:dyDescent="0.25">
      <c r="A79" s="45"/>
      <c r="B79" s="1189"/>
      <c r="C79" s="1189"/>
      <c r="D79" s="1189" t="s">
        <v>53</v>
      </c>
      <c r="E79" s="1189" t="s">
        <v>53</v>
      </c>
      <c r="F79" s="1189" t="s">
        <v>53</v>
      </c>
      <c r="G79" s="166" t="str">
        <f t="shared" ref="G79:G83" si="6">IF(AND(E79&lt;&gt;"",F79&lt;&gt;"",D79&lt;&gt;"",E79&lt;&gt;"Select",F79&lt;&gt;"Select",D79&lt;&gt;"Select"),"Yes","No")</f>
        <v>No</v>
      </c>
      <c r="H79" s="45"/>
      <c r="I79" s="45"/>
      <c r="J79" s="45"/>
      <c r="K79" s="45"/>
      <c r="L79" s="45"/>
      <c r="M79" s="45"/>
    </row>
    <row r="80" spans="1:15" x14ac:dyDescent="0.25">
      <c r="A80" s="45"/>
      <c r="B80" s="1189"/>
      <c r="C80" s="1189"/>
      <c r="D80" s="1189" t="s">
        <v>53</v>
      </c>
      <c r="E80" s="1189" t="s">
        <v>53</v>
      </c>
      <c r="F80" s="1189" t="s">
        <v>53</v>
      </c>
      <c r="G80" s="166" t="str">
        <f t="shared" si="6"/>
        <v>No</v>
      </c>
      <c r="H80" s="45"/>
      <c r="I80" s="45"/>
      <c r="J80" s="45"/>
      <c r="K80" s="45"/>
      <c r="L80" s="45"/>
      <c r="M80" s="45"/>
    </row>
    <row r="81" spans="1:15" x14ac:dyDescent="0.25">
      <c r="A81" s="45"/>
      <c r="B81" s="1189"/>
      <c r="C81" s="1189"/>
      <c r="D81" s="1189" t="s">
        <v>53</v>
      </c>
      <c r="E81" s="1189" t="s">
        <v>53</v>
      </c>
      <c r="F81" s="1189" t="s">
        <v>53</v>
      </c>
      <c r="G81" s="166" t="str">
        <f t="shared" si="6"/>
        <v>No</v>
      </c>
      <c r="H81" s="45"/>
      <c r="I81" s="45"/>
      <c r="J81" s="45"/>
      <c r="K81" s="45"/>
      <c r="L81" s="45"/>
      <c r="M81" s="45"/>
    </row>
    <row r="82" spans="1:15" x14ac:dyDescent="0.25">
      <c r="A82" s="45"/>
      <c r="B82" s="1189"/>
      <c r="C82" s="1189"/>
      <c r="D82" s="1189" t="s">
        <v>53</v>
      </c>
      <c r="E82" s="1189" t="s">
        <v>53</v>
      </c>
      <c r="F82" s="1189" t="s">
        <v>53</v>
      </c>
      <c r="G82" s="166" t="str">
        <f t="shared" si="6"/>
        <v>No</v>
      </c>
      <c r="H82" s="45"/>
      <c r="I82" s="45"/>
      <c r="J82" s="45"/>
      <c r="K82" s="45"/>
      <c r="L82" s="45"/>
      <c r="M82" s="45"/>
    </row>
    <row r="83" spans="1:15" x14ac:dyDescent="0.25">
      <c r="A83" s="45"/>
      <c r="B83" s="1189"/>
      <c r="C83" s="1189"/>
      <c r="D83" s="1189" t="s">
        <v>53</v>
      </c>
      <c r="E83" s="1189" t="s">
        <v>53</v>
      </c>
      <c r="F83" s="1189" t="s">
        <v>53</v>
      </c>
      <c r="G83" s="166" t="str">
        <f t="shared" si="6"/>
        <v>No</v>
      </c>
      <c r="H83" s="45"/>
      <c r="I83" s="45"/>
      <c r="J83" s="45"/>
      <c r="K83" s="45"/>
      <c r="L83" s="45"/>
      <c r="M83" s="45"/>
    </row>
    <row r="84" spans="1:15" x14ac:dyDescent="0.25">
      <c r="A84" s="45"/>
      <c r="B84" s="815"/>
      <c r="C84" s="825"/>
      <c r="D84" s="944" t="s">
        <v>53</v>
      </c>
      <c r="E84" s="825" t="s">
        <v>53</v>
      </c>
      <c r="F84" s="825" t="s">
        <v>53</v>
      </c>
      <c r="G84" s="166" t="str">
        <f t="shared" si="5"/>
        <v>No</v>
      </c>
      <c r="H84" s="45"/>
      <c r="I84" s="45"/>
      <c r="J84" s="45"/>
      <c r="K84" s="45"/>
      <c r="L84" s="45"/>
      <c r="M84" s="45"/>
    </row>
    <row r="85" spans="1:15" x14ac:dyDescent="0.25">
      <c r="A85" s="45"/>
      <c r="B85" s="815"/>
      <c r="C85" s="825"/>
      <c r="D85" s="944" t="s">
        <v>53</v>
      </c>
      <c r="E85" s="825" t="s">
        <v>53</v>
      </c>
      <c r="F85" s="825" t="s">
        <v>53</v>
      </c>
      <c r="G85" s="166" t="str">
        <f t="shared" si="5"/>
        <v>No</v>
      </c>
      <c r="H85" s="45"/>
      <c r="I85" s="45"/>
      <c r="J85" s="45"/>
      <c r="K85" s="45"/>
      <c r="L85" s="45"/>
      <c r="M85" s="45"/>
    </row>
    <row r="86" spans="1:15" x14ac:dyDescent="0.25">
      <c r="A86" s="45"/>
      <c r="B86" s="815"/>
      <c r="C86" s="825"/>
      <c r="D86" s="944" t="s">
        <v>53</v>
      </c>
      <c r="E86" s="825" t="s">
        <v>53</v>
      </c>
      <c r="F86" s="825" t="s">
        <v>53</v>
      </c>
      <c r="G86" s="166" t="str">
        <f t="shared" si="5"/>
        <v>No</v>
      </c>
      <c r="H86" s="45"/>
      <c r="I86" s="45"/>
      <c r="J86" s="45"/>
      <c r="K86" s="45"/>
      <c r="L86" s="45"/>
      <c r="M86" s="45"/>
    </row>
    <row r="87" spans="1:15" x14ac:dyDescent="0.25">
      <c r="A87" s="45"/>
      <c r="B87" s="815"/>
      <c r="C87" s="825"/>
      <c r="D87" s="944" t="s">
        <v>53</v>
      </c>
      <c r="E87" s="825" t="s">
        <v>53</v>
      </c>
      <c r="F87" s="825" t="s">
        <v>53</v>
      </c>
      <c r="G87" s="166" t="str">
        <f t="shared" si="4"/>
        <v>No</v>
      </c>
      <c r="H87" s="45"/>
      <c r="I87" s="45"/>
      <c r="J87" s="45"/>
      <c r="K87" s="45"/>
      <c r="L87" s="45"/>
      <c r="M87" s="45"/>
    </row>
    <row r="88" spans="1:15" x14ac:dyDescent="0.25">
      <c r="A88" s="45"/>
      <c r="B88" s="815"/>
      <c r="C88" s="825"/>
      <c r="D88" s="944" t="s">
        <v>53</v>
      </c>
      <c r="E88" s="825" t="s">
        <v>53</v>
      </c>
      <c r="F88" s="825" t="s">
        <v>53</v>
      </c>
      <c r="G88" s="166" t="str">
        <f t="shared" si="4"/>
        <v>No</v>
      </c>
      <c r="H88" s="45"/>
      <c r="I88" s="45"/>
      <c r="J88" s="45"/>
      <c r="K88" s="45"/>
      <c r="L88" s="45"/>
      <c r="M88" s="45"/>
    </row>
    <row r="89" spans="1:15" x14ac:dyDescent="0.25">
      <c r="A89" s="45"/>
      <c r="B89" s="815"/>
      <c r="C89" s="825"/>
      <c r="D89" s="944" t="s">
        <v>53</v>
      </c>
      <c r="E89" s="825" t="s">
        <v>53</v>
      </c>
      <c r="F89" s="825" t="s">
        <v>53</v>
      </c>
      <c r="G89" s="166" t="str">
        <f t="shared" si="4"/>
        <v>No</v>
      </c>
      <c r="H89" s="45"/>
      <c r="I89" s="45"/>
      <c r="J89" s="45"/>
      <c r="K89" s="45"/>
      <c r="L89" s="45"/>
      <c r="M89" s="45"/>
    </row>
    <row r="90" spans="1:15" x14ac:dyDescent="0.25">
      <c r="A90" s="45"/>
      <c r="B90" s="815"/>
      <c r="C90" s="825"/>
      <c r="D90" s="944" t="s">
        <v>53</v>
      </c>
      <c r="E90" s="825" t="s">
        <v>53</v>
      </c>
      <c r="F90" s="825" t="s">
        <v>53</v>
      </c>
      <c r="G90" s="166" t="str">
        <f t="shared" si="4"/>
        <v>No</v>
      </c>
      <c r="H90" s="45"/>
      <c r="I90" s="45"/>
      <c r="J90" s="45"/>
      <c r="K90" s="45"/>
      <c r="L90" s="45"/>
      <c r="M90" s="45"/>
    </row>
    <row r="91" spans="1:15" x14ac:dyDescent="0.25">
      <c r="A91" s="45"/>
      <c r="B91" s="803"/>
      <c r="C91" s="825"/>
      <c r="D91" s="944" t="s">
        <v>53</v>
      </c>
      <c r="E91" s="825" t="s">
        <v>53</v>
      </c>
      <c r="F91" s="825" t="s">
        <v>53</v>
      </c>
      <c r="G91" s="166" t="str">
        <f t="shared" ref="G91:G94" si="7">IF(AND(E91&lt;&gt;"",F91&lt;&gt;"",D91&lt;&gt;"",E91&lt;&gt;"Select",F91&lt;&gt;"Select",D91&lt;&gt;"Select"),"Yes","No")</f>
        <v>No</v>
      </c>
      <c r="H91" s="45"/>
      <c r="I91" s="45"/>
      <c r="J91" s="45"/>
      <c r="K91" s="45"/>
      <c r="L91" s="45"/>
      <c r="M91" s="45"/>
    </row>
    <row r="92" spans="1:15" x14ac:dyDescent="0.25">
      <c r="A92" s="45"/>
      <c r="B92" s="803"/>
      <c r="C92" s="825"/>
      <c r="D92" s="944" t="s">
        <v>53</v>
      </c>
      <c r="E92" s="825" t="s">
        <v>53</v>
      </c>
      <c r="F92" s="825" t="s">
        <v>53</v>
      </c>
      <c r="G92" s="166" t="str">
        <f t="shared" si="7"/>
        <v>No</v>
      </c>
      <c r="H92" s="45"/>
      <c r="I92" s="45"/>
      <c r="J92" s="45"/>
      <c r="K92" s="45"/>
      <c r="L92" s="45"/>
      <c r="M92" s="45"/>
    </row>
    <row r="93" spans="1:15" x14ac:dyDescent="0.25">
      <c r="A93" s="45"/>
      <c r="B93" s="803"/>
      <c r="C93" s="825"/>
      <c r="D93" s="944" t="s">
        <v>53</v>
      </c>
      <c r="E93" s="825" t="s">
        <v>53</v>
      </c>
      <c r="F93" s="825" t="s">
        <v>53</v>
      </c>
      <c r="G93" s="166" t="str">
        <f t="shared" si="7"/>
        <v>No</v>
      </c>
      <c r="H93" s="445"/>
      <c r="I93" s="445"/>
      <c r="J93" s="445"/>
      <c r="K93" s="45"/>
      <c r="L93" s="45"/>
      <c r="M93" s="45"/>
      <c r="N93" s="35" t="s">
        <v>1429</v>
      </c>
      <c r="O93" s="35" t="s">
        <v>1430</v>
      </c>
    </row>
    <row r="94" spans="1:15" x14ac:dyDescent="0.25">
      <c r="A94" s="45"/>
      <c r="B94" s="803"/>
      <c r="C94" s="825"/>
      <c r="D94" s="944" t="s">
        <v>53</v>
      </c>
      <c r="E94" s="825" t="s">
        <v>53</v>
      </c>
      <c r="F94" s="825" t="s">
        <v>53</v>
      </c>
      <c r="G94" s="166" t="str">
        <f t="shared" si="7"/>
        <v>No</v>
      </c>
      <c r="H94" s="327"/>
      <c r="I94" s="327"/>
      <c r="J94" s="327"/>
      <c r="K94" s="45"/>
      <c r="L94" s="45"/>
      <c r="M94" s="45"/>
      <c r="N94" s="35">
        <f>SUM(C75:C94)</f>
        <v>0</v>
      </c>
      <c r="O94" s="35">
        <f>SUMIF(G75:G94,"Yes",C75:C94)</f>
        <v>0</v>
      </c>
    </row>
    <row r="95" spans="1:15" ht="20.25" customHeight="1" x14ac:dyDescent="0.25">
      <c r="A95" s="45"/>
      <c r="B95" s="270"/>
      <c r="C95" s="767"/>
      <c r="D95" s="767"/>
      <c r="E95" s="767"/>
      <c r="F95" s="767"/>
      <c r="G95" s="767"/>
      <c r="H95" s="767"/>
      <c r="I95" s="767"/>
      <c r="J95" s="767"/>
      <c r="K95" s="45"/>
      <c r="L95" s="45"/>
    </row>
    <row r="96" spans="1:15" ht="14.25" customHeight="1" x14ac:dyDescent="0.25">
      <c r="A96" s="46"/>
      <c r="B96" s="324" t="s">
        <v>1947</v>
      </c>
      <c r="C96" s="45"/>
      <c r="D96" s="45"/>
      <c r="E96" s="45"/>
      <c r="F96" s="45"/>
      <c r="G96" s="45"/>
      <c r="H96" s="45"/>
      <c r="I96" s="45"/>
      <c r="J96" s="45"/>
      <c r="K96" s="45"/>
      <c r="L96" s="45"/>
    </row>
    <row r="97" spans="1:16" ht="12" customHeight="1" x14ac:dyDescent="0.25">
      <c r="A97" s="45"/>
      <c r="B97" s="270"/>
      <c r="C97" s="1153"/>
      <c r="D97" s="1153"/>
      <c r="E97" s="1153"/>
      <c r="F97" s="1153"/>
      <c r="G97" s="1153"/>
      <c r="H97" s="1153"/>
      <c r="I97" s="1153"/>
      <c r="J97" s="1153"/>
      <c r="K97" s="45"/>
      <c r="L97" s="45"/>
    </row>
    <row r="98" spans="1:16" ht="18" customHeight="1" x14ac:dyDescent="0.25">
      <c r="A98" s="45"/>
      <c r="B98" s="2124" t="s">
        <v>1694</v>
      </c>
      <c r="C98" s="2125"/>
      <c r="D98" s="2126"/>
      <c r="E98" s="66">
        <f>IFERROR((O94+O70)/(N70+N94),0)</f>
        <v>0</v>
      </c>
      <c r="F98" s="767"/>
      <c r="G98" s="767"/>
      <c r="H98" s="767"/>
      <c r="I98" s="767"/>
      <c r="J98" s="767"/>
      <c r="K98" s="45"/>
      <c r="L98" s="45"/>
    </row>
    <row r="99" spans="1:16" ht="18" customHeight="1" x14ac:dyDescent="0.25">
      <c r="A99" s="45"/>
      <c r="B99" s="270"/>
      <c r="C99" s="811"/>
      <c r="D99" s="811"/>
      <c r="E99" s="811"/>
      <c r="F99" s="811"/>
      <c r="G99" s="811"/>
      <c r="H99" s="811"/>
      <c r="I99" s="811"/>
      <c r="J99" s="811"/>
      <c r="K99" s="45"/>
      <c r="L99" s="45"/>
    </row>
    <row r="100" spans="1:16" ht="17.25" customHeight="1" x14ac:dyDescent="0.25">
      <c r="A100" s="2117" t="s">
        <v>84</v>
      </c>
      <c r="B100" s="2117"/>
      <c r="C100" s="2117"/>
      <c r="D100" s="46"/>
      <c r="E100" s="46"/>
      <c r="F100" s="46"/>
      <c r="G100" s="46"/>
      <c r="H100" s="46"/>
      <c r="I100" s="46"/>
      <c r="J100" s="46"/>
      <c r="K100" s="46"/>
      <c r="L100" s="46"/>
      <c r="M100" s="46"/>
    </row>
    <row r="101" spans="1:16" x14ac:dyDescent="0.25">
      <c r="A101" s="46"/>
      <c r="B101" s="46"/>
      <c r="C101" s="46"/>
      <c r="D101" s="46"/>
      <c r="E101" s="46"/>
      <c r="F101" s="46"/>
      <c r="G101" s="46"/>
      <c r="H101" s="46"/>
      <c r="I101" s="46"/>
      <c r="J101" s="46"/>
      <c r="K101" s="46"/>
      <c r="L101" s="46"/>
      <c r="M101" s="46"/>
    </row>
    <row r="102" spans="1:16" ht="21" customHeight="1" x14ac:dyDescent="0.25">
      <c r="A102" s="46"/>
      <c r="B102" s="2104" t="s">
        <v>2062</v>
      </c>
      <c r="C102" s="2105"/>
      <c r="D102" s="2105"/>
      <c r="E102" s="2105"/>
      <c r="F102" s="2105"/>
      <c r="G102" s="950" t="s">
        <v>907</v>
      </c>
      <c r="H102" s="2106" t="s">
        <v>908</v>
      </c>
      <c r="I102" s="2106"/>
      <c r="J102" s="46"/>
      <c r="K102" s="46"/>
      <c r="L102" s="46"/>
      <c r="M102" s="46"/>
    </row>
    <row r="103" spans="1:16" ht="25.5" customHeight="1" x14ac:dyDescent="0.25">
      <c r="A103" s="46"/>
      <c r="B103" s="1648" t="str">
        <f>Submittals!G96</f>
        <v>• Plans indicating the location and number of thermal controls</v>
      </c>
      <c r="C103" s="1649"/>
      <c r="D103" s="1649"/>
      <c r="E103" s="1649"/>
      <c r="F103" s="1649"/>
      <c r="G103" s="946" t="s">
        <v>53</v>
      </c>
      <c r="H103" s="1689"/>
      <c r="I103" s="1690"/>
      <c r="J103" s="46"/>
      <c r="K103" s="46"/>
      <c r="L103" s="46"/>
      <c r="M103" s="35" t="str">
        <f>IF(AND($D$39&lt;&gt;"Yes",$D$40&lt;&gt;"Yes"),"Yes",IF(OR(B103="/",B103="No evidence required at this submission stage"),"Yes",IF(G103="Submitted","Yes","No")))</f>
        <v>Yes</v>
      </c>
    </row>
    <row r="104" spans="1:16" ht="30" customHeight="1" x14ac:dyDescent="0.25">
      <c r="A104" s="46"/>
      <c r="B104" s="1648" t="str">
        <f>Submittals!G97</f>
        <v>• Evidence showing that the thermal controls have been installed such as photographs, commissioning records, etc.</v>
      </c>
      <c r="C104" s="1649"/>
      <c r="D104" s="1649"/>
      <c r="E104" s="1649"/>
      <c r="F104" s="1649"/>
      <c r="G104" s="946" t="s">
        <v>53</v>
      </c>
      <c r="H104" s="1689"/>
      <c r="I104" s="1690"/>
      <c r="J104" s="46"/>
      <c r="K104" s="46"/>
      <c r="L104" s="46"/>
      <c r="M104" s="35" t="str">
        <f>IF(AND($D$39&lt;&gt;"Yes",$D$40&lt;&gt;"Yes"),"Yes",IF(OR(B104="/",B104="No evidence required at this submission stage"),"Yes",IF(G104="Submitted","Yes","No")))</f>
        <v>Yes</v>
      </c>
    </row>
    <row r="105" spans="1:16" customFormat="1" x14ac:dyDescent="0.25">
      <c r="A105" s="46"/>
      <c r="B105" s="46"/>
      <c r="C105" s="46"/>
      <c r="D105" s="46"/>
      <c r="E105" s="46"/>
      <c r="F105" s="46"/>
      <c r="G105" s="46"/>
      <c r="H105" s="46"/>
      <c r="I105" s="46"/>
      <c r="J105" s="46"/>
      <c r="K105" s="46"/>
      <c r="L105" s="46"/>
      <c r="M105" s="46"/>
      <c r="N105" s="35"/>
      <c r="O105" s="35"/>
      <c r="P105" s="35"/>
    </row>
    <row r="106" spans="1:16" ht="21" customHeight="1" x14ac:dyDescent="0.25">
      <c r="A106" s="46"/>
      <c r="B106" s="2104" t="s">
        <v>2061</v>
      </c>
      <c r="C106" s="2105"/>
      <c r="D106" s="2105"/>
      <c r="E106" s="2105"/>
      <c r="F106" s="2105"/>
      <c r="G106" s="239" t="s">
        <v>907</v>
      </c>
      <c r="H106" s="2106" t="s">
        <v>908</v>
      </c>
      <c r="I106" s="2106"/>
      <c r="J106" s="46"/>
      <c r="K106" s="46"/>
      <c r="L106" s="46"/>
      <c r="M106" s="46"/>
    </row>
    <row r="107" spans="1:16" ht="25.5" customHeight="1" x14ac:dyDescent="0.25">
      <c r="A107" s="46"/>
      <c r="B107" s="1648" t="str">
        <f>Submittals!G98</f>
        <v xml:space="preserve">• Calculations showing compliance with the strategies pursued to limit heat gains and to enhance air velocity. </v>
      </c>
      <c r="C107" s="1649"/>
      <c r="D107" s="1649"/>
      <c r="E107" s="1649"/>
      <c r="F107" s="1649"/>
      <c r="G107" s="657" t="s">
        <v>53</v>
      </c>
      <c r="H107" s="1689"/>
      <c r="I107" s="1690"/>
      <c r="J107" s="46"/>
      <c r="K107" s="46"/>
      <c r="L107" s="46"/>
      <c r="M107" s="35" t="str">
        <f>IF(AND($D$38&lt;&gt;"Yes",$D$40&lt;&gt;"Yes"),"Yes",IF(OR(B107="/",B107="No evidence required at this submission stage"),"Yes",IF(G107="Submitted","Yes","No")))</f>
        <v>Yes</v>
      </c>
    </row>
    <row r="108" spans="1:16" ht="25.5" hidden="1" customHeight="1" x14ac:dyDescent="0.25">
      <c r="A108" s="46"/>
      <c r="B108" s="1648" t="str">
        <f>Submittals!G99</f>
        <v>• Narrative demonstrating that the strategies implemented effectively improve thermal comfort in the non-air-conditioned spaces. This can include a survey of the building occupants if the building has been occupied during one hot season.</v>
      </c>
      <c r="C108" s="1649"/>
      <c r="D108" s="1649"/>
      <c r="E108" s="1649"/>
      <c r="F108" s="1649"/>
      <c r="G108" s="657" t="s">
        <v>53</v>
      </c>
      <c r="H108" s="1689"/>
      <c r="I108" s="1690"/>
      <c r="J108" s="46"/>
      <c r="K108" s="46"/>
      <c r="L108" s="46"/>
      <c r="M108" s="35" t="str">
        <f>IF(AND($D$39&lt;&gt;"Yes",$D$40&lt;&gt;"Yes"),"Yes",IF(OR(B108="/",B108="No evidence required at this submission stage"),"Yes",IF(G108="Submitted","Yes","No")))</f>
        <v>Yes</v>
      </c>
    </row>
    <row r="109" spans="1:16" customFormat="1" ht="19.5" customHeight="1" x14ac:dyDescent="0.25">
      <c r="A109" s="46"/>
      <c r="B109" s="46"/>
      <c r="C109" s="46"/>
      <c r="D109" s="46"/>
      <c r="E109" s="46"/>
      <c r="F109" s="46"/>
      <c r="G109" s="46"/>
      <c r="H109" s="46"/>
      <c r="I109" s="46"/>
      <c r="J109" s="46"/>
      <c r="K109" s="46"/>
      <c r="L109" s="46"/>
      <c r="M109" s="46"/>
      <c r="N109" s="35"/>
      <c r="O109" s="35"/>
    </row>
    <row r="110" spans="1:16" ht="17.25" customHeight="1" x14ac:dyDescent="0.25">
      <c r="A110" s="2117" t="s">
        <v>5</v>
      </c>
      <c r="B110" s="2117"/>
      <c r="C110" s="2117"/>
      <c r="D110" s="46"/>
      <c r="E110" s="46"/>
      <c r="F110" s="46"/>
      <c r="G110" s="46"/>
      <c r="H110" s="46"/>
      <c r="I110" s="46"/>
      <c r="J110" s="46"/>
      <c r="K110" s="46"/>
      <c r="L110" s="46"/>
      <c r="M110" s="46"/>
    </row>
    <row r="111" spans="1:16" x14ac:dyDescent="0.25">
      <c r="A111" s="46"/>
      <c r="B111" s="46"/>
      <c r="C111" s="46"/>
      <c r="D111" s="46"/>
      <c r="E111" s="46"/>
      <c r="F111" s="46"/>
      <c r="G111" s="46"/>
      <c r="H111" s="46"/>
      <c r="I111" s="46"/>
      <c r="J111" s="46"/>
      <c r="K111" s="46"/>
      <c r="L111" s="46"/>
      <c r="M111" s="46"/>
    </row>
    <row r="112" spans="1:16" ht="18" customHeight="1" x14ac:dyDescent="0.25">
      <c r="A112" s="46"/>
      <c r="B112" s="134" t="s">
        <v>16</v>
      </c>
      <c r="C112" s="8">
        <f>IF(E98&gt;=0.95,1,0)</f>
        <v>0</v>
      </c>
      <c r="D112" s="46"/>
      <c r="E112" s="46"/>
      <c r="F112" s="46"/>
      <c r="G112" s="46"/>
      <c r="H112" s="46"/>
      <c r="I112" s="46"/>
      <c r="J112" s="46"/>
      <c r="K112" s="46"/>
      <c r="L112" s="46"/>
      <c r="M112" s="46"/>
    </row>
    <row r="113" spans="1:13" ht="18" customHeight="1" x14ac:dyDescent="0.25">
      <c r="A113" s="46"/>
      <c r="B113" s="135" t="s">
        <v>133</v>
      </c>
      <c r="C113" s="8" t="str">
        <f>IF(AND(COUNTIF(M103:M107,"Yes")=3,C112&gt;0),"Yes","No")</f>
        <v>No</v>
      </c>
      <c r="D113" s="46"/>
      <c r="E113" s="46"/>
      <c r="F113" s="46"/>
      <c r="G113" s="46"/>
      <c r="H113" s="46"/>
      <c r="I113" s="46"/>
      <c r="J113" s="46"/>
      <c r="K113" s="46"/>
      <c r="L113" s="46"/>
      <c r="M113" s="46"/>
    </row>
    <row r="114" spans="1:13" ht="22.5" customHeight="1" x14ac:dyDescent="0.25">
      <c r="A114" s="46"/>
      <c r="B114" s="46"/>
      <c r="C114" s="46"/>
      <c r="D114" s="46"/>
      <c r="E114" s="46"/>
      <c r="F114" s="46"/>
      <c r="G114" s="46"/>
      <c r="H114" s="46"/>
      <c r="I114" s="46"/>
      <c r="J114" s="46"/>
      <c r="K114" s="46"/>
      <c r="L114" s="46"/>
      <c r="M114" s="46"/>
    </row>
    <row r="115" spans="1:13" ht="15" hidden="1" customHeight="1" x14ac:dyDescent="0.25"/>
    <row r="116" spans="1:13" ht="15" hidden="1" customHeight="1" x14ac:dyDescent="0.25"/>
    <row r="117" spans="1:13" ht="15" hidden="1" customHeight="1" x14ac:dyDescent="0.25"/>
    <row r="118" spans="1:13" ht="15" hidden="1" customHeight="1" x14ac:dyDescent="0.25"/>
    <row r="119" spans="1:13" ht="15" hidden="1" customHeight="1" x14ac:dyDescent="0.25"/>
    <row r="120" spans="1:13" ht="15" hidden="1" customHeight="1" x14ac:dyDescent="0.25"/>
    <row r="121" spans="1:13" ht="15" hidden="1" customHeight="1" x14ac:dyDescent="0.25"/>
    <row r="122" spans="1:13" ht="15" hidden="1" customHeight="1" x14ac:dyDescent="0.25"/>
    <row r="123" spans="1:13" ht="15" hidden="1" customHeight="1" x14ac:dyDescent="0.25"/>
    <row r="124" spans="1:13" ht="15" hidden="1" customHeight="1" x14ac:dyDescent="0.25"/>
    <row r="125" spans="1:13" ht="15" hidden="1" customHeight="1" x14ac:dyDescent="0.25"/>
    <row r="126" spans="1:13" ht="15" hidden="1" customHeight="1" x14ac:dyDescent="0.25"/>
    <row r="127" spans="1:13" ht="15" hidden="1" customHeight="1" x14ac:dyDescent="0.25"/>
    <row r="128" spans="1:1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sheetData>
  <sheetProtection algorithmName="SHA-512" hashValue="Rv8NdZIOP3j+21PCpzZ3K9hv6ULBm+iyU8eIQljxv+mph1f2JnAO1r3RV8DdXZpCKP7097Zeikb2nuT+KN9Afw==" saltValue="5X0+DZrKFrPkX8mh9DPM2g==" spinCount="100000" sheet="1" objects="1" scenarios="1" formatRows="0"/>
  <dataConsolidate/>
  <mergeCells count="64">
    <mergeCell ref="G54:H54"/>
    <mergeCell ref="G55:H55"/>
    <mergeCell ref="G56:H56"/>
    <mergeCell ref="G57:H57"/>
    <mergeCell ref="G58:H58"/>
    <mergeCell ref="B18:K18"/>
    <mergeCell ref="B21:K21"/>
    <mergeCell ref="B26:K26"/>
    <mergeCell ref="B16:K16"/>
    <mergeCell ref="B33:K33"/>
    <mergeCell ref="B28:K28"/>
    <mergeCell ref="B29:K29"/>
    <mergeCell ref="B30:K30"/>
    <mergeCell ref="B31:K31"/>
    <mergeCell ref="B32:K32"/>
    <mergeCell ref="A1:L1"/>
    <mergeCell ref="B106:F106"/>
    <mergeCell ref="H2:I4"/>
    <mergeCell ref="A5:L7"/>
    <mergeCell ref="B11:E11"/>
    <mergeCell ref="B12:E12"/>
    <mergeCell ref="H106:I106"/>
    <mergeCell ref="A9:L9"/>
    <mergeCell ref="B19:K19"/>
    <mergeCell ref="A14:L14"/>
    <mergeCell ref="A100:C100"/>
    <mergeCell ref="B22:K22"/>
    <mergeCell ref="B23:K23"/>
    <mergeCell ref="B27:K27"/>
    <mergeCell ref="B24:K24"/>
    <mergeCell ref="B25:K25"/>
    <mergeCell ref="H107:I107"/>
    <mergeCell ref="H108:I108"/>
    <mergeCell ref="A110:C110"/>
    <mergeCell ref="B107:F107"/>
    <mergeCell ref="B108:F108"/>
    <mergeCell ref="G66:H66"/>
    <mergeCell ref="G67:H67"/>
    <mergeCell ref="G60:H60"/>
    <mergeCell ref="G61:H61"/>
    <mergeCell ref="G62:H62"/>
    <mergeCell ref="G63:H63"/>
    <mergeCell ref="G64:H64"/>
    <mergeCell ref="B104:F104"/>
    <mergeCell ref="H104:I104"/>
    <mergeCell ref="B102:F102"/>
    <mergeCell ref="B35:H35"/>
    <mergeCell ref="B37:C37"/>
    <mergeCell ref="B38:C38"/>
    <mergeCell ref="B39:C39"/>
    <mergeCell ref="B40:C40"/>
    <mergeCell ref="G48:H48"/>
    <mergeCell ref="G49:H49"/>
    <mergeCell ref="G50:H50"/>
    <mergeCell ref="G51:H51"/>
    <mergeCell ref="G52:H52"/>
    <mergeCell ref="G53:H53"/>
    <mergeCell ref="G59:H59"/>
    <mergeCell ref="G65:H65"/>
    <mergeCell ref="B98:D98"/>
    <mergeCell ref="G68:H68"/>
    <mergeCell ref="H102:I102"/>
    <mergeCell ref="B103:F103"/>
    <mergeCell ref="H103:I103"/>
  </mergeCells>
  <conditionalFormatting sqref="G107">
    <cfRule type="expression" dxfId="163" priority="45">
      <formula>$B107="/"</formula>
    </cfRule>
    <cfRule type="expression" dxfId="162" priority="46">
      <formula>$B107="No evidence required at this submission stage"</formula>
    </cfRule>
  </conditionalFormatting>
  <conditionalFormatting sqref="G108">
    <cfRule type="expression" dxfId="161" priority="36">
      <formula>$B108="/"</formula>
    </cfRule>
    <cfRule type="expression" dxfId="160" priority="37">
      <formula>$B108="No evidence required at this submission stage"</formula>
    </cfRule>
  </conditionalFormatting>
  <conditionalFormatting sqref="H107:I108">
    <cfRule type="expression" dxfId="159" priority="33">
      <formula>$B107="/"</formula>
    </cfRule>
    <cfRule type="expression" dxfId="158" priority="34">
      <formula>$B107="No evidence required at this submission stage"</formula>
    </cfRule>
  </conditionalFormatting>
  <conditionalFormatting sqref="B107:B108">
    <cfRule type="expression" dxfId="157" priority="8">
      <formula>#REF!&lt;&gt;"Prescriptive Path"</formula>
    </cfRule>
  </conditionalFormatting>
  <conditionalFormatting sqref="H103:I104">
    <cfRule type="expression" dxfId="156" priority="2">
      <formula>$B103="/"</formula>
    </cfRule>
    <cfRule type="expression" dxfId="155" priority="3">
      <formula>$B103="No evidence required at this submission stage"</formula>
    </cfRule>
  </conditionalFormatting>
  <conditionalFormatting sqref="G103">
    <cfRule type="expression" dxfId="154" priority="6">
      <formula>$B103="/"</formula>
    </cfRule>
    <cfRule type="expression" dxfId="153" priority="7">
      <formula>$B103="No evidence required at this submission stage"</formula>
    </cfRule>
  </conditionalFormatting>
  <conditionalFormatting sqref="G104">
    <cfRule type="expression" dxfId="152" priority="4">
      <formula>$B104="/"</formula>
    </cfRule>
    <cfRule type="expression" dxfId="151" priority="5">
      <formula>$B104="No evidence required at this submission stage"</formula>
    </cfRule>
  </conditionalFormatting>
  <conditionalFormatting sqref="B103:B104">
    <cfRule type="expression" dxfId="150" priority="1">
      <formula>#REF!&lt;&gt;"Prescriptive Path"</formula>
    </cfRule>
  </conditionalFormatting>
  <dataValidations count="9">
    <dataValidation type="list" allowBlank="1" showInputMessage="1" showErrorMessage="1" sqref="G107:G108 G103:G104" xr:uid="{00000000-0002-0000-2600-000000000000}">
      <formula1>"Select,Submitted,Not submitted"</formula1>
    </dataValidation>
    <dataValidation type="list" allowBlank="1" showInputMessage="1" showErrorMessage="1" sqref="D49:D68" xr:uid="{00000000-0002-0000-2600-000001000000}">
      <formula1>"Select,individual occupancy,multi-occupant"</formula1>
    </dataValidation>
    <dataValidation type="list" allowBlank="1" showInputMessage="1" showErrorMessage="1" sqref="E49:E68" xr:uid="{00000000-0002-0000-2600-000002000000}">
      <formula1>"Select,Yes,No"</formula1>
    </dataValidation>
    <dataValidation type="list" allowBlank="1" showInputMessage="1" showErrorMessage="1" sqref="F49:F68" xr:uid="{00000000-0002-0000-2600-000003000000}">
      <formula1>"Select,Air temperature, radiant temperature, air speed,humidity"</formula1>
    </dataValidation>
    <dataValidation allowBlank="1" showInputMessage="1" showErrorMessage="1" prompt="Describe the type of thermal controls provided." sqref="G49:H68" xr:uid="{00000000-0002-0000-2600-000004000000}"/>
    <dataValidation type="list" allowBlank="1" showInputMessage="1" showErrorMessage="1" sqref="D38:D40" xr:uid="{00000000-0002-0000-2600-000005000000}">
      <formula1>"Select,Yes,No,N/A"</formula1>
    </dataValidation>
    <dataValidation type="list" allowBlank="1" showInputMessage="1" showErrorMessage="1" prompt="If a room is located in the center of the building and has no contact with any external wall, complete with 'N/A'." sqref="E75:E94" xr:uid="{00000000-0002-0000-2600-000006000000}">
      <formula1>"Select,external shadings,solar reflectivity,N/A,No"</formula1>
    </dataValidation>
    <dataValidation type="list" allowBlank="1" showInputMessage="1" showErrorMessage="1" sqref="F75:F94" xr:uid="{00000000-0002-0000-2600-000007000000}">
      <formula1>"Select,reduced LPD,energy efficient appliances,daylighting,No"</formula1>
    </dataValidation>
    <dataValidation type="list" allowBlank="1" showInputMessage="1" showErrorMessage="1" sqref="D75:D94" xr:uid="{00000000-0002-0000-2600-000008000000}">
      <formula1>"Select,compliant with credit E-1 Strategy A,1 fan for every 20 m2,HVLS fans,No"</formula1>
    </dataValidation>
  </dataValidations>
  <hyperlinks>
    <hyperlink ref="J2" location="'H-1 Fresh Air Supply'!B3" tooltip="H-1" display="H-1" xr:uid="{00000000-0004-0000-2600-000000000000}"/>
    <hyperlink ref="J4" location="'H-3 Interior Plants'!B3" tooltip="H-3" display="H-3" xr:uid="{00000000-0004-0000-2600-000001000000}"/>
    <hyperlink ref="J3" location="'H-2 Low-VOC Emissions '!B3" tooltip="H-2" display="H-2" xr:uid="{00000000-0004-0000-2600-000002000000}"/>
    <hyperlink ref="K2" location="'H-4 Green Cleaning'!B3" tooltip="H-4" display="H-4" xr:uid="{00000000-0004-0000-2600-000003000000}"/>
    <hyperlink ref="K4" location="'H-6 External Views'!B3" tooltip="H-6" display="H-6" xr:uid="{00000000-0004-0000-2600-000004000000}"/>
    <hyperlink ref="K3" location="'H-5 Daylighting'!B3" tooltip="H-5" display="H-5" xr:uid="{00000000-0004-0000-2600-000005000000}"/>
    <hyperlink ref="L3" location="'H&amp;C BPC'!B3" tooltip="H-BPC" display="H-BPC" xr:uid="{00000000-0004-0000-2600-000006000000}"/>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tabColor rgb="FF943634"/>
  </sheetPr>
  <dimension ref="A1:W748"/>
  <sheetViews>
    <sheetView showRowColHeaders="0" zoomScaleNormal="100" workbookViewId="0">
      <pane ySplit="7" topLeftCell="A12" activePane="bottomLeft" state="frozen"/>
      <selection pane="bottomLeft" activeCell="A7" sqref="A7"/>
    </sheetView>
  </sheetViews>
  <sheetFormatPr defaultColWidth="0" defaultRowHeight="15" customHeight="1" zeroHeight="1" x14ac:dyDescent="0.25"/>
  <cols>
    <col min="1" max="1" width="4.7109375" style="35" customWidth="1"/>
    <col min="2" max="3" width="18.28515625" style="35" customWidth="1"/>
    <col min="4" max="4" width="18.42578125" style="35" customWidth="1"/>
    <col min="5" max="5" width="19.7109375" style="35" customWidth="1"/>
    <col min="6" max="6" width="19.28515625" style="35" customWidth="1"/>
    <col min="7" max="7" width="18.5703125" style="35" customWidth="1"/>
    <col min="8" max="8" width="17.7109375" style="35" customWidth="1"/>
    <col min="9" max="9" width="16.85546875" style="35" customWidth="1"/>
    <col min="10" max="10" width="13" style="35" customWidth="1"/>
    <col min="11" max="11" width="8.7109375" style="35" customWidth="1"/>
    <col min="12" max="12" width="8.42578125" style="35" customWidth="1"/>
    <col min="13" max="13" width="7.28515625" style="35" customWidth="1"/>
    <col min="14" max="18" width="9.140625" style="35" hidden="1" customWidth="1"/>
    <col min="19" max="19" width="14.28515625" style="35" hidden="1" customWidth="1"/>
    <col min="20" max="16384" width="9.140625" style="35" hidden="1"/>
  </cols>
  <sheetData>
    <row r="1" spans="1:15" ht="24.75" customHeight="1" x14ac:dyDescent="0.25">
      <c r="A1" s="2110" t="s">
        <v>1649</v>
      </c>
      <c r="B1" s="2110"/>
      <c r="C1" s="2110"/>
      <c r="D1" s="2110"/>
      <c r="E1" s="2110"/>
      <c r="F1" s="2110"/>
      <c r="G1" s="2110"/>
      <c r="H1" s="2110"/>
      <c r="I1" s="2110"/>
      <c r="J1" s="2110"/>
      <c r="K1" s="2110"/>
      <c r="L1" s="2110"/>
      <c r="M1" s="2110"/>
    </row>
    <row r="2" spans="1:15" ht="15" customHeight="1" x14ac:dyDescent="0.25">
      <c r="A2" s="45"/>
      <c r="B2" s="46"/>
      <c r="C2" s="46"/>
      <c r="D2" s="46"/>
      <c r="E2" s="46"/>
      <c r="F2" s="45"/>
      <c r="G2" s="45"/>
      <c r="H2" s="45"/>
      <c r="I2" s="1835" t="s">
        <v>1264</v>
      </c>
      <c r="J2" s="1835"/>
      <c r="K2" s="588" t="s">
        <v>26</v>
      </c>
      <c r="L2" s="588" t="s">
        <v>33</v>
      </c>
      <c r="M2" s="588"/>
    </row>
    <row r="3" spans="1:15" ht="15" customHeight="1" x14ac:dyDescent="0.25">
      <c r="A3" s="45"/>
      <c r="B3" s="46"/>
      <c r="C3" s="46"/>
      <c r="D3" s="46"/>
      <c r="E3" s="46"/>
      <c r="F3" s="45"/>
      <c r="G3" s="45"/>
      <c r="H3" s="45"/>
      <c r="I3" s="1835"/>
      <c r="J3" s="1835"/>
      <c r="K3" s="588" t="s">
        <v>28</v>
      </c>
      <c r="L3" s="588" t="s">
        <v>205</v>
      </c>
      <c r="M3" s="588" t="s">
        <v>256</v>
      </c>
    </row>
    <row r="4" spans="1:15" ht="15" customHeight="1" x14ac:dyDescent="0.25">
      <c r="A4" s="45"/>
      <c r="B4" s="46"/>
      <c r="C4" s="46"/>
      <c r="D4" s="46"/>
      <c r="E4" s="46"/>
      <c r="F4" s="45"/>
      <c r="G4" s="45"/>
      <c r="H4" s="45"/>
      <c r="I4" s="1835"/>
      <c r="J4" s="1835"/>
      <c r="K4" s="588" t="s">
        <v>31</v>
      </c>
      <c r="L4" s="588" t="s">
        <v>255</v>
      </c>
      <c r="M4" s="588"/>
    </row>
    <row r="5" spans="1:15" ht="18.75" customHeight="1" x14ac:dyDescent="0.25">
      <c r="A5" s="1656" t="s">
        <v>2640</v>
      </c>
      <c r="B5" s="1657"/>
      <c r="C5" s="1657"/>
      <c r="D5" s="1657"/>
      <c r="E5" s="1657"/>
      <c r="F5" s="1657"/>
      <c r="G5" s="1657"/>
      <c r="H5" s="1657"/>
      <c r="I5" s="1657"/>
      <c r="J5" s="1657"/>
      <c r="K5" s="1657"/>
      <c r="L5" s="1657"/>
      <c r="M5" s="1658"/>
    </row>
    <row r="6" spans="1:15" ht="18.75" customHeight="1" x14ac:dyDescent="0.25">
      <c r="A6" s="1662"/>
      <c r="B6" s="1663"/>
      <c r="C6" s="1663"/>
      <c r="D6" s="1663"/>
      <c r="E6" s="1663"/>
      <c r="F6" s="1663"/>
      <c r="G6" s="1663"/>
      <c r="H6" s="1663"/>
      <c r="I6" s="1663"/>
      <c r="J6" s="1663"/>
      <c r="K6" s="1663"/>
      <c r="L6" s="1663"/>
      <c r="M6" s="1664"/>
      <c r="N6" s="45"/>
      <c r="O6" s="45"/>
    </row>
    <row r="7" spans="1:15" ht="9.75" customHeight="1" x14ac:dyDescent="0.25">
      <c r="A7" s="976"/>
      <c r="B7" s="976"/>
      <c r="C7" s="976"/>
      <c r="D7" s="976"/>
      <c r="E7" s="976"/>
      <c r="F7" s="976"/>
      <c r="G7" s="976"/>
      <c r="H7" s="976"/>
      <c r="I7" s="976"/>
      <c r="J7" s="976"/>
      <c r="K7" s="976"/>
      <c r="L7" s="992"/>
      <c r="M7" s="1232"/>
      <c r="N7" s="45"/>
      <c r="O7" s="45"/>
    </row>
    <row r="8" spans="1:15" ht="18" customHeight="1" x14ac:dyDescent="0.25">
      <c r="A8" s="2107" t="s">
        <v>1537</v>
      </c>
      <c r="B8" s="2107"/>
      <c r="C8" s="2107"/>
      <c r="D8" s="2107"/>
      <c r="E8" s="2107"/>
      <c r="F8" s="2107"/>
      <c r="G8" s="2107"/>
      <c r="H8" s="2107"/>
      <c r="I8" s="2107"/>
      <c r="J8" s="2107"/>
      <c r="K8" s="2107"/>
      <c r="L8" s="2107"/>
      <c r="M8" s="2107"/>
    </row>
    <row r="9" spans="1:15" ht="13.5" customHeight="1" x14ac:dyDescent="0.25">
      <c r="A9" s="45"/>
      <c r="B9" s="46"/>
      <c r="C9" s="46"/>
      <c r="D9" s="46"/>
      <c r="E9" s="46"/>
      <c r="F9" s="45"/>
      <c r="G9" s="45"/>
      <c r="H9" s="45"/>
      <c r="I9" s="45"/>
      <c r="J9" s="45"/>
      <c r="K9" s="45"/>
      <c r="L9" s="45"/>
      <c r="M9" s="45"/>
    </row>
    <row r="10" spans="1:15" ht="21" customHeight="1" x14ac:dyDescent="0.25">
      <c r="A10" s="45"/>
      <c r="B10" s="2179" t="s">
        <v>83</v>
      </c>
      <c r="C10" s="2232"/>
      <c r="D10" s="2232"/>
      <c r="E10" s="2232"/>
      <c r="F10" s="2232"/>
      <c r="G10" s="542" t="s">
        <v>64</v>
      </c>
      <c r="H10" s="542" t="s">
        <v>16</v>
      </c>
      <c r="I10" s="1075" t="s">
        <v>133</v>
      </c>
      <c r="J10" s="45"/>
      <c r="K10" s="45"/>
      <c r="L10" s="45"/>
      <c r="M10" s="45"/>
    </row>
    <row r="11" spans="1:15" ht="19.5" customHeight="1" x14ac:dyDescent="0.25">
      <c r="A11" s="45"/>
      <c r="B11" s="2259" t="s">
        <v>2373</v>
      </c>
      <c r="C11" s="2260"/>
      <c r="D11" s="2260"/>
      <c r="E11" s="2260"/>
      <c r="F11" s="2260"/>
      <c r="G11" s="2260"/>
      <c r="H11" s="2260"/>
      <c r="I11" s="2261"/>
      <c r="J11" s="45"/>
      <c r="K11" s="45"/>
      <c r="L11" s="45"/>
      <c r="M11" s="45"/>
    </row>
    <row r="12" spans="1:15" ht="40.5" customHeight="1" x14ac:dyDescent="0.25">
      <c r="A12" s="45"/>
      <c r="B12" s="1797" t="s">
        <v>2374</v>
      </c>
      <c r="C12" s="1798"/>
      <c r="D12" s="1798"/>
      <c r="E12" s="1798"/>
      <c r="F12" s="1799"/>
      <c r="G12" s="281">
        <v>1</v>
      </c>
      <c r="H12" s="281">
        <f>IF(D28="Flush-out Procedure",C75,IF(D28="Select",0,C101))</f>
        <v>0</v>
      </c>
      <c r="I12" s="281" t="str">
        <f>IF(D28="Flush-out Procedure",C76,IF(D28="Select","No",C102))</f>
        <v>No</v>
      </c>
      <c r="J12" s="45"/>
      <c r="K12" s="45"/>
      <c r="L12" s="45"/>
      <c r="M12" s="45"/>
      <c r="N12" s="35" t="str">
        <f>IF(H12&lt;&gt;0,IF(I12="No","No","Yes"),"Yes")</f>
        <v>Yes</v>
      </c>
    </row>
    <row r="13" spans="1:15" ht="28.5" customHeight="1" x14ac:dyDescent="0.25">
      <c r="A13" s="45"/>
      <c r="B13" s="2113" t="s">
        <v>2375</v>
      </c>
      <c r="C13" s="2114" t="s">
        <v>56</v>
      </c>
      <c r="D13" s="2114" t="s">
        <v>56</v>
      </c>
      <c r="E13" s="2114" t="s">
        <v>56</v>
      </c>
      <c r="F13" s="2115">
        <v>1</v>
      </c>
      <c r="G13" s="281">
        <v>1</v>
      </c>
      <c r="H13" s="281">
        <f>C143</f>
        <v>0</v>
      </c>
      <c r="I13" s="281" t="str">
        <f>C144</f>
        <v>No</v>
      </c>
      <c r="J13" s="45"/>
      <c r="K13" s="45"/>
      <c r="L13" s="45"/>
      <c r="M13" s="45"/>
      <c r="N13" s="35" t="str">
        <f t="shared" ref="N13:N14" si="0">IF(H13&lt;&gt;0,IF(I13="No","No","Yes"),"Yes")</f>
        <v>Yes</v>
      </c>
    </row>
    <row r="14" spans="1:15" ht="28.5" customHeight="1" x14ac:dyDescent="0.25">
      <c r="A14" s="45"/>
      <c r="B14" s="2113" t="s">
        <v>2376</v>
      </c>
      <c r="C14" s="2114" t="s">
        <v>56</v>
      </c>
      <c r="D14" s="2114" t="s">
        <v>56</v>
      </c>
      <c r="E14" s="2114" t="s">
        <v>56</v>
      </c>
      <c r="F14" s="2115">
        <v>1</v>
      </c>
      <c r="G14" s="281">
        <v>1</v>
      </c>
      <c r="H14" s="281">
        <f>C187</f>
        <v>0</v>
      </c>
      <c r="I14" s="281" t="str">
        <f>C188</f>
        <v>No</v>
      </c>
      <c r="J14" s="45"/>
      <c r="K14" s="45"/>
      <c r="L14" s="45"/>
      <c r="M14" s="45"/>
      <c r="N14" s="35" t="str">
        <f t="shared" si="0"/>
        <v>Yes</v>
      </c>
    </row>
    <row r="15" spans="1:15" ht="18" customHeight="1" x14ac:dyDescent="0.25">
      <c r="A15" s="45"/>
      <c r="B15" s="2281" t="s">
        <v>2385</v>
      </c>
      <c r="C15" s="2282"/>
      <c r="D15" s="2282"/>
      <c r="E15" s="2282"/>
      <c r="F15" s="2283"/>
      <c r="G15" s="1277">
        <v>2</v>
      </c>
      <c r="H15" s="1278">
        <f>MIN(G15,SUM(H12:H14))</f>
        <v>0</v>
      </c>
      <c r="I15" s="1278" t="str">
        <f>IF(COUNTIF(I12:I14,"No")=3,"No",IF(COUNTIF(N12:N14,"Yes")=3,"Yes","No"))</f>
        <v>No</v>
      </c>
      <c r="J15" s="45"/>
      <c r="K15" s="45"/>
      <c r="L15" s="45"/>
      <c r="M15" s="45"/>
      <c r="N15" s="35" t="str">
        <f>IF(H15&lt;&gt;0,IF(I15="No","No","Yes"),"Yes")</f>
        <v>Yes</v>
      </c>
    </row>
    <row r="16" spans="1:15" ht="19.5" customHeight="1" x14ac:dyDescent="0.25">
      <c r="A16" s="45"/>
      <c r="B16" s="2259" t="s">
        <v>2377</v>
      </c>
      <c r="C16" s="2260"/>
      <c r="D16" s="2260"/>
      <c r="E16" s="2260"/>
      <c r="F16" s="2260"/>
      <c r="G16" s="2260"/>
      <c r="H16" s="2260"/>
      <c r="I16" s="2261"/>
      <c r="J16" s="45"/>
      <c r="K16" s="45"/>
      <c r="L16" s="45"/>
      <c r="M16" s="45"/>
    </row>
    <row r="17" spans="1:14" ht="19.5" customHeight="1" x14ac:dyDescent="0.25">
      <c r="A17" s="45"/>
      <c r="B17" s="2262" t="s">
        <v>1685</v>
      </c>
      <c r="C17" s="2263" t="s">
        <v>56</v>
      </c>
      <c r="D17" s="2263" t="s">
        <v>56</v>
      </c>
      <c r="E17" s="2263" t="s">
        <v>56</v>
      </c>
      <c r="F17" s="2264"/>
      <c r="G17" s="1131">
        <v>1</v>
      </c>
      <c r="H17" s="1131">
        <f>C247</f>
        <v>0</v>
      </c>
      <c r="I17" s="1131" t="str">
        <f>C248</f>
        <v>No</v>
      </c>
      <c r="J17" s="45"/>
      <c r="K17" s="45"/>
      <c r="L17" s="45"/>
      <c r="M17" s="45"/>
      <c r="N17" s="35" t="str">
        <f>IF(H17&lt;&gt;0,IF(I17="No","No","Yes"),"Yes")</f>
        <v>Yes</v>
      </c>
    </row>
    <row r="18" spans="1:14" ht="19.5" customHeight="1" x14ac:dyDescent="0.25">
      <c r="A18" s="45"/>
      <c r="B18" s="2259" t="s">
        <v>2378</v>
      </c>
      <c r="C18" s="2260"/>
      <c r="D18" s="2260"/>
      <c r="E18" s="2260"/>
      <c r="F18" s="2260"/>
      <c r="G18" s="2260"/>
      <c r="H18" s="2260"/>
      <c r="I18" s="2261"/>
      <c r="J18" s="45"/>
      <c r="K18" s="45"/>
      <c r="L18" s="45"/>
      <c r="M18" s="45"/>
    </row>
    <row r="19" spans="1:14" ht="66" customHeight="1" x14ac:dyDescent="0.25">
      <c r="A19" s="45"/>
      <c r="B19" s="2113" t="s">
        <v>1684</v>
      </c>
      <c r="C19" s="2114" t="s">
        <v>55</v>
      </c>
      <c r="D19" s="2114" t="s">
        <v>55</v>
      </c>
      <c r="E19" s="2114" t="s">
        <v>55</v>
      </c>
      <c r="F19" s="2115"/>
      <c r="G19" s="281">
        <v>1</v>
      </c>
      <c r="H19" s="281">
        <f>IF(D252="Option A: Internal Noise Levels",C294,IF(D252="Option B: Reverberation Time",C363,0))</f>
        <v>0</v>
      </c>
      <c r="I19" s="281" t="str">
        <f>IF(D252="Option A: Internal Noise Levels",C295,IF(D252="Option B: Reverberation Time",C364,"No"))</f>
        <v>No</v>
      </c>
      <c r="J19" s="45"/>
      <c r="K19" s="45"/>
      <c r="L19" s="45"/>
      <c r="M19" s="45"/>
      <c r="N19" s="35" t="str">
        <f>IF(H19&lt;&gt;0,IF(I19="No","No","Yes"),"Yes")</f>
        <v>Yes</v>
      </c>
    </row>
    <row r="20" spans="1:14" ht="21" customHeight="1" x14ac:dyDescent="0.25">
      <c r="A20" s="45"/>
      <c r="B20" s="2259" t="s">
        <v>2379</v>
      </c>
      <c r="C20" s="2260"/>
      <c r="D20" s="2260"/>
      <c r="E20" s="2260"/>
      <c r="F20" s="2260"/>
      <c r="G20" s="2260"/>
      <c r="H20" s="2260"/>
      <c r="I20" s="2261"/>
      <c r="J20" s="45"/>
      <c r="K20" s="45"/>
      <c r="L20" s="45"/>
      <c r="M20" s="45"/>
    </row>
    <row r="21" spans="1:14" ht="40.5" customHeight="1" x14ac:dyDescent="0.25">
      <c r="A21" s="45"/>
      <c r="B21" s="2262" t="s">
        <v>1832</v>
      </c>
      <c r="C21" s="2263"/>
      <c r="D21" s="2263"/>
      <c r="E21" s="2263"/>
      <c r="F21" s="2264"/>
      <c r="G21" s="281">
        <v>1</v>
      </c>
      <c r="H21" s="281">
        <f>C423</f>
        <v>0</v>
      </c>
      <c r="I21" s="281" t="str">
        <f>C424</f>
        <v>No</v>
      </c>
      <c r="J21" s="45"/>
      <c r="K21" s="45"/>
      <c r="L21" s="45"/>
      <c r="M21" s="45"/>
      <c r="N21" s="35" t="str">
        <f>IF(H21&lt;&gt;0,IF(I21="No","No","Yes"),"Yes")</f>
        <v>Yes</v>
      </c>
    </row>
    <row r="22" spans="1:14" ht="19.5" customHeight="1" x14ac:dyDescent="0.25">
      <c r="A22" s="45"/>
      <c r="B22" s="2259" t="s">
        <v>25</v>
      </c>
      <c r="C22" s="2260"/>
      <c r="D22" s="2260"/>
      <c r="E22" s="2260"/>
      <c r="F22" s="2261"/>
      <c r="G22" s="908">
        <v>5</v>
      </c>
      <c r="H22" s="498">
        <f>SUM(H15:H21)</f>
        <v>0</v>
      </c>
      <c r="I22" s="498" t="str">
        <f>IF(COUNTIF(I15:I21,"No")=4,"No",IF(COUNTIF(N15:N21,"Yes")=4,"Yes","No"))</f>
        <v>No</v>
      </c>
      <c r="J22" s="45"/>
      <c r="K22" s="45"/>
      <c r="L22" s="45"/>
      <c r="M22" s="45"/>
    </row>
    <row r="23" spans="1:14" ht="18" customHeight="1" x14ac:dyDescent="0.25">
      <c r="A23" s="45"/>
      <c r="B23" s="46"/>
      <c r="C23" s="46"/>
      <c r="D23" s="46"/>
      <c r="E23" s="46"/>
      <c r="F23" s="45"/>
      <c r="G23" s="45"/>
      <c r="H23" s="45"/>
      <c r="I23" s="45"/>
      <c r="J23" s="45"/>
      <c r="K23" s="45"/>
      <c r="L23" s="45"/>
      <c r="M23" s="45"/>
    </row>
    <row r="24" spans="1:14" ht="21" customHeight="1" x14ac:dyDescent="0.25">
      <c r="A24" s="2107" t="s">
        <v>2381</v>
      </c>
      <c r="B24" s="2107"/>
      <c r="C24" s="2107"/>
      <c r="D24" s="2107"/>
      <c r="E24" s="2107"/>
      <c r="F24" s="2107"/>
      <c r="G24" s="2107"/>
      <c r="H24" s="2107"/>
      <c r="I24" s="2107"/>
      <c r="J24" s="2107"/>
      <c r="K24" s="2107"/>
      <c r="L24" s="2107"/>
      <c r="M24" s="2107"/>
    </row>
    <row r="25" spans="1:14" x14ac:dyDescent="0.25">
      <c r="A25" s="45"/>
      <c r="B25" s="46"/>
      <c r="C25" s="46"/>
      <c r="D25" s="46"/>
      <c r="E25" s="45"/>
      <c r="F25" s="45"/>
      <c r="G25" s="45"/>
      <c r="H25" s="45"/>
      <c r="I25" s="45"/>
      <c r="J25" s="45"/>
      <c r="K25" s="45"/>
      <c r="L25" s="45"/>
      <c r="M25" s="45"/>
    </row>
    <row r="26" spans="1:14" ht="19.5" customHeight="1" x14ac:dyDescent="0.25">
      <c r="A26" s="2107" t="s">
        <v>2383</v>
      </c>
      <c r="B26" s="2107"/>
      <c r="C26" s="2107"/>
      <c r="D26" s="2107"/>
      <c r="E26" s="2107"/>
      <c r="F26" s="2107"/>
      <c r="G26" s="2107"/>
      <c r="H26" s="2107"/>
      <c r="I26" s="2107"/>
      <c r="J26" s="2107"/>
      <c r="K26" s="2107"/>
      <c r="L26" s="2107"/>
      <c r="M26" s="2107"/>
    </row>
    <row r="27" spans="1:14" x14ac:dyDescent="0.25">
      <c r="A27" s="45"/>
      <c r="B27" s="46"/>
      <c r="C27" s="1017"/>
      <c r="D27" s="46"/>
      <c r="E27" s="45"/>
      <c r="F27" s="45"/>
      <c r="G27" s="45"/>
      <c r="H27" s="45"/>
      <c r="I27" s="45"/>
      <c r="J27" s="45"/>
      <c r="K27" s="45"/>
      <c r="L27" s="45"/>
      <c r="M27" s="45"/>
    </row>
    <row r="28" spans="1:14" ht="16.5" customHeight="1" x14ac:dyDescent="0.25">
      <c r="A28" s="45"/>
      <c r="B28" s="2192" t="s">
        <v>99</v>
      </c>
      <c r="C28" s="2192"/>
      <c r="D28" s="1939" t="s">
        <v>2386</v>
      </c>
      <c r="E28" s="1939"/>
      <c r="F28" s="45"/>
      <c r="G28" s="45"/>
      <c r="H28" s="45"/>
      <c r="I28" s="45"/>
      <c r="J28" s="45"/>
      <c r="K28" s="45"/>
      <c r="L28" s="45"/>
      <c r="M28" s="45"/>
    </row>
    <row r="29" spans="1:14" x14ac:dyDescent="0.25">
      <c r="A29" s="45"/>
      <c r="B29" s="46"/>
      <c r="C29" s="46"/>
      <c r="D29" s="46"/>
      <c r="E29" s="45"/>
      <c r="F29" s="45"/>
      <c r="G29" s="45"/>
      <c r="H29" s="45"/>
      <c r="I29" s="45"/>
      <c r="J29" s="45"/>
      <c r="K29" s="45"/>
      <c r="L29" s="45"/>
      <c r="M29" s="45"/>
    </row>
    <row r="30" spans="1:14" ht="18" customHeight="1" x14ac:dyDescent="0.25">
      <c r="A30" s="2107" t="s">
        <v>2384</v>
      </c>
      <c r="B30" s="2107"/>
      <c r="C30" s="2107"/>
      <c r="D30" s="2107"/>
      <c r="E30" s="114"/>
      <c r="F30" s="114"/>
      <c r="G30" s="114"/>
      <c r="H30" s="114"/>
      <c r="I30" s="114"/>
      <c r="J30" s="114"/>
      <c r="K30" s="114"/>
      <c r="L30" s="114"/>
      <c r="M30" s="114"/>
    </row>
    <row r="31" spans="1:14" x14ac:dyDescent="0.25">
      <c r="A31" s="114"/>
      <c r="B31" s="118"/>
      <c r="C31" s="118"/>
      <c r="D31" s="118"/>
      <c r="E31" s="118"/>
      <c r="F31" s="114"/>
      <c r="G31" s="114"/>
      <c r="H31" s="114"/>
      <c r="I31" s="114"/>
      <c r="J31" s="114"/>
      <c r="K31" s="114"/>
      <c r="L31" s="114"/>
      <c r="M31" s="114"/>
    </row>
    <row r="32" spans="1:14" ht="16.5" customHeight="1" x14ac:dyDescent="0.25">
      <c r="A32" s="2117" t="s">
        <v>102</v>
      </c>
      <c r="B32" s="2117"/>
      <c r="C32" s="2117"/>
      <c r="D32" s="118"/>
      <c r="E32" s="114"/>
      <c r="F32" s="114"/>
      <c r="G32" s="114"/>
      <c r="H32" s="114"/>
      <c r="I32" s="114"/>
      <c r="J32" s="114"/>
      <c r="K32" s="114"/>
      <c r="L32" s="114"/>
      <c r="M32" s="114"/>
    </row>
    <row r="33" spans="1:13" ht="12" customHeight="1" x14ac:dyDescent="0.25">
      <c r="A33" s="118"/>
      <c r="B33" s="118"/>
      <c r="C33" s="118"/>
      <c r="D33" s="118"/>
      <c r="E33" s="118"/>
      <c r="F33" s="118"/>
      <c r="G33" s="118"/>
      <c r="H33" s="118"/>
      <c r="I33" s="118"/>
      <c r="J33" s="118"/>
      <c r="K33" s="118"/>
      <c r="L33" s="118"/>
      <c r="M33" s="118"/>
    </row>
    <row r="34" spans="1:13" x14ac:dyDescent="0.25">
      <c r="A34" s="118"/>
      <c r="B34" s="571" t="s">
        <v>426</v>
      </c>
      <c r="C34" s="118"/>
      <c r="D34" s="118"/>
      <c r="E34" s="118"/>
      <c r="F34" s="118"/>
      <c r="G34" s="118"/>
      <c r="H34" s="118"/>
      <c r="I34" s="118"/>
      <c r="J34" s="118"/>
      <c r="K34" s="118"/>
      <c r="L34" s="118"/>
      <c r="M34" s="118"/>
    </row>
    <row r="35" spans="1:13" ht="13.5" customHeight="1" x14ac:dyDescent="0.25">
      <c r="A35" s="118"/>
      <c r="B35" s="118"/>
      <c r="C35" s="118"/>
      <c r="D35" s="118"/>
      <c r="E35" s="118"/>
      <c r="F35" s="118"/>
      <c r="G35" s="118"/>
      <c r="H35" s="118"/>
      <c r="I35" s="118"/>
      <c r="J35" s="118"/>
      <c r="K35" s="118"/>
      <c r="L35" s="118"/>
      <c r="M35" s="118"/>
    </row>
    <row r="36" spans="1:13" ht="15" customHeight="1" x14ac:dyDescent="0.25">
      <c r="A36" s="118"/>
      <c r="B36" s="995" t="s">
        <v>1460</v>
      </c>
      <c r="C36" s="519"/>
      <c r="D36" s="519"/>
      <c r="E36" s="519"/>
      <c r="F36" s="519"/>
      <c r="G36" s="519"/>
      <c r="H36" s="519"/>
      <c r="I36" s="519"/>
      <c r="J36" s="519"/>
      <c r="K36" s="520"/>
      <c r="L36" s="118"/>
      <c r="M36" s="118"/>
    </row>
    <row r="37" spans="1:13" x14ac:dyDescent="0.25">
      <c r="A37" s="118"/>
      <c r="B37" s="998" t="s">
        <v>709</v>
      </c>
      <c r="C37" s="521"/>
      <c r="D37" s="521"/>
      <c r="E37" s="521"/>
      <c r="F37" s="521"/>
      <c r="G37" s="521"/>
      <c r="H37" s="521"/>
      <c r="I37" s="521"/>
      <c r="J37" s="521"/>
      <c r="K37" s="522"/>
      <c r="L37" s="118"/>
      <c r="M37" s="118"/>
    </row>
    <row r="38" spans="1:13" x14ac:dyDescent="0.25">
      <c r="A38" s="118"/>
      <c r="B38" s="512" t="s">
        <v>706</v>
      </c>
      <c r="C38" s="514"/>
      <c r="D38" s="514"/>
      <c r="E38" s="514"/>
      <c r="F38" s="514"/>
      <c r="G38" s="514"/>
      <c r="H38" s="514"/>
      <c r="I38" s="514"/>
      <c r="J38" s="514"/>
      <c r="K38" s="515"/>
      <c r="L38" s="118"/>
      <c r="M38" s="118"/>
    </row>
    <row r="39" spans="1:13" x14ac:dyDescent="0.25">
      <c r="A39" s="118"/>
      <c r="B39" s="518" t="s">
        <v>707</v>
      </c>
      <c r="C39" s="1000"/>
      <c r="D39" s="1000"/>
      <c r="E39" s="1000"/>
      <c r="F39" s="1000"/>
      <c r="G39" s="1000"/>
      <c r="H39" s="1000"/>
      <c r="I39" s="1000"/>
      <c r="J39" s="1000"/>
      <c r="K39" s="1001"/>
      <c r="L39" s="118"/>
      <c r="M39" s="118"/>
    </row>
    <row r="40" spans="1:13" x14ac:dyDescent="0.25">
      <c r="A40" s="118"/>
      <c r="B40" s="513" t="s">
        <v>427</v>
      </c>
      <c r="C40" s="1000"/>
      <c r="D40" s="1000"/>
      <c r="E40" s="1000"/>
      <c r="F40" s="1000"/>
      <c r="G40" s="1000"/>
      <c r="H40" s="1000"/>
      <c r="I40" s="1000"/>
      <c r="J40" s="1000"/>
      <c r="K40" s="1001"/>
      <c r="L40" s="118"/>
      <c r="M40" s="118"/>
    </row>
    <row r="41" spans="1:13" ht="15" customHeight="1" x14ac:dyDescent="0.25">
      <c r="A41" s="118"/>
      <c r="B41" s="518" t="s">
        <v>708</v>
      </c>
      <c r="C41" s="1000"/>
      <c r="D41" s="1000"/>
      <c r="E41" s="1000"/>
      <c r="F41" s="1000"/>
      <c r="G41" s="1000"/>
      <c r="H41" s="1000"/>
      <c r="I41" s="1000"/>
      <c r="J41" s="1000"/>
      <c r="K41" s="1001"/>
      <c r="L41" s="118"/>
      <c r="M41" s="118"/>
    </row>
    <row r="42" spans="1:13" ht="21" customHeight="1" x14ac:dyDescent="0.25">
      <c r="A42" s="118"/>
      <c r="B42" s="2284" t="s">
        <v>750</v>
      </c>
      <c r="C42" s="2285"/>
      <c r="D42" s="2285"/>
      <c r="E42" s="2285"/>
      <c r="F42" s="2285"/>
      <c r="G42" s="2285"/>
      <c r="H42" s="2285"/>
      <c r="I42" s="2285"/>
      <c r="J42" s="2285"/>
      <c r="K42" s="2286"/>
      <c r="L42" s="118"/>
      <c r="M42" s="118"/>
    </row>
    <row r="43" spans="1:13" ht="21" customHeight="1" x14ac:dyDescent="0.25">
      <c r="A43" s="118"/>
      <c r="B43" s="2287"/>
      <c r="C43" s="2288"/>
      <c r="D43" s="2288"/>
      <c r="E43" s="2288"/>
      <c r="F43" s="2288"/>
      <c r="G43" s="2288"/>
      <c r="H43" s="2288"/>
      <c r="I43" s="2288"/>
      <c r="J43" s="2288"/>
      <c r="K43" s="2289"/>
      <c r="L43" s="118"/>
      <c r="M43" s="118"/>
    </row>
    <row r="44" spans="1:13" ht="15" customHeight="1" x14ac:dyDescent="0.25">
      <c r="A44" s="118"/>
      <c r="B44" s="118"/>
      <c r="C44" s="118"/>
      <c r="D44" s="118"/>
      <c r="E44" s="118"/>
      <c r="F44" s="118"/>
      <c r="G44" s="118"/>
      <c r="H44" s="118"/>
      <c r="I44" s="118"/>
      <c r="J44" s="118"/>
      <c r="K44" s="118"/>
      <c r="L44" s="118"/>
      <c r="M44" s="118"/>
    </row>
    <row r="45" spans="1:13" ht="15" customHeight="1" x14ac:dyDescent="0.25">
      <c r="A45" s="118"/>
      <c r="B45" s="819" t="s">
        <v>430</v>
      </c>
      <c r="C45" s="118"/>
      <c r="D45" s="118"/>
      <c r="E45" s="118"/>
      <c r="F45" s="118"/>
      <c r="G45" s="118"/>
      <c r="H45" s="118"/>
      <c r="I45" s="118"/>
      <c r="J45" s="118"/>
      <c r="K45" s="118"/>
      <c r="L45" s="118"/>
      <c r="M45" s="118"/>
    </row>
    <row r="46" spans="1:13" ht="15" customHeight="1" x14ac:dyDescent="0.25">
      <c r="A46" s="118"/>
      <c r="B46" s="118"/>
      <c r="C46" s="118"/>
      <c r="D46" s="118"/>
      <c r="E46" s="118"/>
      <c r="F46" s="118"/>
      <c r="G46" s="118"/>
      <c r="H46" s="118"/>
      <c r="I46" s="118"/>
      <c r="J46" s="118"/>
      <c r="K46" s="118"/>
      <c r="L46" s="118"/>
      <c r="M46" s="118"/>
    </row>
    <row r="47" spans="1:13" ht="16.5" customHeight="1" x14ac:dyDescent="0.25">
      <c r="A47" s="1010" t="s">
        <v>6</v>
      </c>
      <c r="B47" s="43"/>
      <c r="C47" s="43"/>
      <c r="D47" s="118"/>
      <c r="E47" s="118"/>
      <c r="F47" s="118"/>
      <c r="G47" s="118"/>
      <c r="H47" s="118"/>
      <c r="I47" s="118"/>
      <c r="J47" s="118"/>
      <c r="K47" s="118"/>
      <c r="L47" s="118"/>
      <c r="M47" s="118"/>
    </row>
    <row r="48" spans="1:13" x14ac:dyDescent="0.25">
      <c r="A48" s="118"/>
      <c r="B48" s="118"/>
      <c r="C48" s="118"/>
      <c r="D48" s="118"/>
      <c r="E48" s="118"/>
      <c r="F48" s="118"/>
      <c r="G48" s="118"/>
      <c r="H48" s="118"/>
      <c r="I48" s="118"/>
      <c r="J48" s="118"/>
      <c r="K48" s="118"/>
      <c r="L48" s="118"/>
      <c r="M48" s="118"/>
    </row>
    <row r="49" spans="1:14" x14ac:dyDescent="0.25">
      <c r="A49" s="118"/>
      <c r="B49" s="2277" t="s">
        <v>710</v>
      </c>
      <c r="C49" s="2277"/>
      <c r="D49" s="2277"/>
      <c r="E49" s="2277"/>
      <c r="F49" s="2277"/>
      <c r="G49" s="118"/>
      <c r="H49" s="118"/>
      <c r="I49" s="118"/>
      <c r="J49" s="118"/>
      <c r="K49" s="118"/>
      <c r="L49" s="118"/>
      <c r="M49" s="118"/>
    </row>
    <row r="50" spans="1:14" x14ac:dyDescent="0.25">
      <c r="A50" s="118"/>
      <c r="B50" s="118"/>
      <c r="C50" s="118"/>
      <c r="D50" s="118"/>
      <c r="E50" s="118"/>
      <c r="F50" s="118"/>
      <c r="G50" s="118"/>
      <c r="H50" s="118"/>
      <c r="I50" s="118"/>
      <c r="J50" s="118"/>
      <c r="K50" s="118"/>
      <c r="L50" s="118"/>
      <c r="M50" s="118"/>
    </row>
    <row r="51" spans="1:14" x14ac:dyDescent="0.25">
      <c r="A51" s="118"/>
      <c r="B51" s="2185" t="s">
        <v>428</v>
      </c>
      <c r="C51" s="2278"/>
      <c r="D51" s="2279" t="s">
        <v>53</v>
      </c>
      <c r="E51" s="2279"/>
      <c r="F51" s="118"/>
      <c r="G51" s="118"/>
      <c r="H51" s="118"/>
      <c r="I51" s="118"/>
      <c r="J51" s="118"/>
      <c r="K51" s="118"/>
      <c r="L51" s="118"/>
      <c r="M51" s="118"/>
    </row>
    <row r="52" spans="1:14" x14ac:dyDescent="0.25">
      <c r="A52" s="118"/>
      <c r="B52" s="118"/>
      <c r="C52" s="118"/>
      <c r="D52" s="118"/>
      <c r="E52" s="118"/>
      <c r="F52" s="118"/>
      <c r="G52" s="118"/>
      <c r="H52" s="118"/>
      <c r="I52" s="118"/>
      <c r="J52" s="118"/>
      <c r="K52" s="118"/>
      <c r="L52" s="118"/>
      <c r="M52" s="118"/>
    </row>
    <row r="53" spans="1:14" ht="16.5" customHeight="1" x14ac:dyDescent="0.25">
      <c r="A53" s="118"/>
      <c r="B53" s="2280" t="s">
        <v>432</v>
      </c>
      <c r="C53" s="2280"/>
      <c r="D53" s="991"/>
      <c r="E53" s="118"/>
      <c r="F53" s="118"/>
      <c r="G53" s="118"/>
      <c r="H53" s="118"/>
      <c r="I53" s="118"/>
      <c r="J53" s="118"/>
      <c r="K53" s="118"/>
      <c r="L53" s="118"/>
      <c r="M53" s="118"/>
    </row>
    <row r="54" spans="1:14" ht="16.5" customHeight="1" x14ac:dyDescent="0.25">
      <c r="A54" s="118"/>
      <c r="B54" s="2280" t="s">
        <v>749</v>
      </c>
      <c r="C54" s="2280"/>
      <c r="D54" s="991"/>
      <c r="E54" s="118"/>
      <c r="F54" s="118"/>
      <c r="G54" s="118"/>
      <c r="H54" s="118"/>
      <c r="I54" s="118"/>
      <c r="J54" s="118"/>
      <c r="K54" s="118"/>
      <c r="L54" s="118"/>
      <c r="M54" s="118"/>
    </row>
    <row r="55" spans="1:14" ht="16.5" customHeight="1" x14ac:dyDescent="0.25">
      <c r="A55" s="118"/>
      <c r="B55" s="2280" t="s">
        <v>431</v>
      </c>
      <c r="C55" s="2280"/>
      <c r="D55" s="991"/>
      <c r="E55" s="118"/>
      <c r="F55" s="118"/>
      <c r="G55" s="118"/>
      <c r="H55" s="118"/>
      <c r="I55" s="118"/>
      <c r="J55" s="118"/>
      <c r="K55" s="118"/>
      <c r="L55" s="118"/>
      <c r="M55" s="118"/>
    </row>
    <row r="56" spans="1:14" ht="12" customHeight="1" x14ac:dyDescent="0.25">
      <c r="A56" s="118"/>
      <c r="B56" s="118"/>
      <c r="C56" s="118"/>
      <c r="D56" s="118"/>
      <c r="E56" s="118"/>
      <c r="F56" s="118"/>
      <c r="G56" s="118"/>
      <c r="H56" s="118"/>
      <c r="I56" s="118"/>
      <c r="J56" s="118"/>
      <c r="K56" s="118"/>
      <c r="L56" s="118"/>
      <c r="M56" s="118"/>
    </row>
    <row r="57" spans="1:14" ht="16.5" customHeight="1" x14ac:dyDescent="0.25">
      <c r="A57" s="118"/>
      <c r="B57" s="2255" t="s">
        <v>544</v>
      </c>
      <c r="C57" s="2256"/>
      <c r="D57" s="2257"/>
      <c r="E57" s="330" t="str">
        <f>IFERROR(D53/1000/D54/D55*3600*24*14,"")</f>
        <v/>
      </c>
      <c r="F57" s="118"/>
      <c r="G57" s="118"/>
      <c r="H57" s="118"/>
      <c r="I57" s="118"/>
      <c r="J57" s="118"/>
      <c r="K57" s="118"/>
      <c r="L57" s="118"/>
      <c r="M57" s="118"/>
    </row>
    <row r="58" spans="1:14" ht="12" customHeight="1" x14ac:dyDescent="0.25">
      <c r="A58" s="118"/>
      <c r="B58" s="118"/>
      <c r="C58" s="118"/>
      <c r="D58" s="118"/>
      <c r="E58" s="118"/>
      <c r="F58" s="118"/>
      <c r="G58" s="118"/>
      <c r="H58" s="118"/>
      <c r="I58" s="118"/>
      <c r="J58" s="118"/>
      <c r="K58" s="118"/>
      <c r="L58" s="118"/>
      <c r="M58" s="118"/>
    </row>
    <row r="59" spans="1:14" ht="16.5" customHeight="1" x14ac:dyDescent="0.25">
      <c r="A59" s="118"/>
      <c r="B59" s="2255" t="s">
        <v>756</v>
      </c>
      <c r="C59" s="2256"/>
      <c r="D59" s="2257"/>
      <c r="E59" s="991"/>
      <c r="F59" s="118"/>
      <c r="G59" s="118"/>
      <c r="H59" s="118"/>
      <c r="I59" s="118"/>
      <c r="J59" s="118"/>
      <c r="K59" s="118"/>
      <c r="L59" s="118"/>
      <c r="M59" s="118"/>
    </row>
    <row r="60" spans="1:14" ht="16.5" customHeight="1" x14ac:dyDescent="0.25">
      <c r="A60" s="118"/>
      <c r="B60" s="2255" t="s">
        <v>751</v>
      </c>
      <c r="C60" s="2256"/>
      <c r="D60" s="2257"/>
      <c r="E60" s="991"/>
      <c r="F60" s="118"/>
      <c r="G60" s="118"/>
      <c r="H60" s="118"/>
      <c r="I60" s="118"/>
      <c r="J60" s="118"/>
      <c r="K60" s="118"/>
      <c r="L60" s="118"/>
      <c r="M60" s="118"/>
    </row>
    <row r="61" spans="1:14" ht="13.5" customHeight="1" x14ac:dyDescent="0.25">
      <c r="A61" s="118"/>
      <c r="B61" s="118"/>
      <c r="C61" s="118"/>
      <c r="D61" s="118"/>
      <c r="E61" s="118"/>
      <c r="F61" s="118"/>
      <c r="G61" s="118" t="s">
        <v>752</v>
      </c>
      <c r="H61" s="118"/>
      <c r="I61" s="118"/>
      <c r="J61" s="118"/>
      <c r="K61" s="118"/>
      <c r="L61" s="118"/>
      <c r="M61" s="118"/>
    </row>
    <row r="62" spans="1:14" ht="18" customHeight="1" x14ac:dyDescent="0.25">
      <c r="A62" s="118"/>
      <c r="B62" s="1648" t="str">
        <f>IF('Project information'!$C$7="Certification stage","• Has the flush-out been performed continuously?","• Will the flush-out be performed continuously?")</f>
        <v>• Has the flush-out been performed continuously?</v>
      </c>
      <c r="C62" s="1649"/>
      <c r="D62" s="1650"/>
      <c r="E62" s="991" t="s">
        <v>53</v>
      </c>
      <c r="F62" s="118"/>
      <c r="G62" s="2255" t="s">
        <v>753</v>
      </c>
      <c r="H62" s="2256"/>
      <c r="I62" s="991"/>
      <c r="J62" s="118"/>
      <c r="K62" s="118"/>
      <c r="L62" s="118"/>
      <c r="M62" s="118"/>
      <c r="N62" s="53"/>
    </row>
    <row r="63" spans="1:14" ht="12" customHeight="1" x14ac:dyDescent="0.25">
      <c r="A63" s="118"/>
      <c r="B63" s="118"/>
      <c r="C63" s="118"/>
      <c r="D63" s="118"/>
      <c r="E63" s="118"/>
      <c r="F63" s="118"/>
      <c r="G63" s="118"/>
      <c r="H63" s="118"/>
      <c r="I63" s="118"/>
      <c r="J63" s="118"/>
      <c r="K63" s="118"/>
      <c r="L63" s="118"/>
      <c r="M63" s="118"/>
    </row>
    <row r="64" spans="1:14" ht="12" customHeight="1" x14ac:dyDescent="0.25">
      <c r="A64" s="118"/>
      <c r="B64" s="118"/>
      <c r="C64" s="118"/>
      <c r="D64" s="118"/>
      <c r="E64" s="118"/>
      <c r="F64" s="118"/>
      <c r="G64" s="118"/>
      <c r="H64" s="118"/>
      <c r="I64" s="118"/>
      <c r="J64" s="118"/>
      <c r="K64" s="118"/>
      <c r="L64" s="118"/>
      <c r="M64" s="118"/>
    </row>
    <row r="65" spans="1:14" ht="18" customHeight="1" x14ac:dyDescent="0.25">
      <c r="A65" s="118"/>
      <c r="B65" s="2108" t="s">
        <v>339</v>
      </c>
      <c r="C65" s="2108"/>
      <c r="D65" s="66" t="str">
        <f>IF(E62="Yes",IF(D51="Select","No",IF(D51="Pre-occupancy flush-out",IF(AND(E59&lt;&gt;"",E60&lt;&gt;"",E59&gt;=D53,E60&gt;=E57),"Yes","No"),IF(AND(E59&gt;=D53,I62&gt;=D53,I62&gt;=D54*1.5,E60&gt;=(E57/2)),"Yes","No"))),"No")</f>
        <v>No</v>
      </c>
      <c r="E65" s="118"/>
      <c r="F65" s="118"/>
      <c r="G65" s="118"/>
      <c r="H65" s="118"/>
      <c r="I65" s="118"/>
      <c r="J65" s="118"/>
      <c r="K65" s="118"/>
      <c r="L65" s="118"/>
      <c r="M65" s="118"/>
    </row>
    <row r="66" spans="1:14" ht="18" customHeight="1" x14ac:dyDescent="0.25">
      <c r="A66" s="118"/>
      <c r="B66" s="118"/>
      <c r="C66" s="118"/>
      <c r="D66" s="118"/>
      <c r="E66" s="118"/>
      <c r="F66" s="118"/>
      <c r="G66" s="118"/>
      <c r="H66" s="118"/>
      <c r="I66" s="118"/>
      <c r="J66" s="118"/>
      <c r="K66" s="118"/>
      <c r="L66" s="118"/>
      <c r="M66" s="118"/>
    </row>
    <row r="67" spans="1:14" ht="16.5" customHeight="1" x14ac:dyDescent="0.25">
      <c r="A67" s="1010" t="s">
        <v>84</v>
      </c>
      <c r="B67" s="43"/>
      <c r="C67" s="43"/>
      <c r="D67" s="118"/>
      <c r="E67" s="118"/>
      <c r="F67" s="118"/>
      <c r="G67" s="118"/>
      <c r="H67" s="118"/>
      <c r="I67" s="118"/>
      <c r="J67" s="118"/>
      <c r="K67" s="118"/>
      <c r="L67" s="118"/>
      <c r="M67" s="118"/>
    </row>
    <row r="68" spans="1:14" x14ac:dyDescent="0.25">
      <c r="A68" s="118"/>
      <c r="B68" s="118"/>
      <c r="C68" s="118"/>
      <c r="D68" s="118"/>
      <c r="E68" s="118"/>
      <c r="F68" s="118"/>
      <c r="G68" s="118"/>
      <c r="H68" s="118"/>
      <c r="I68" s="118"/>
      <c r="J68" s="118"/>
      <c r="K68" s="118"/>
      <c r="L68" s="118"/>
      <c r="M68" s="118"/>
    </row>
    <row r="69" spans="1:14" ht="18" customHeight="1" x14ac:dyDescent="0.25">
      <c r="A69" s="118"/>
      <c r="B69" s="2104" t="s">
        <v>85</v>
      </c>
      <c r="C69" s="2105"/>
      <c r="D69" s="2105"/>
      <c r="E69" s="2105"/>
      <c r="F69" s="2105"/>
      <c r="G69" s="1005" t="s">
        <v>907</v>
      </c>
      <c r="H69" s="2106" t="s">
        <v>908</v>
      </c>
      <c r="I69" s="2106"/>
      <c r="J69" s="118"/>
      <c r="K69" s="118"/>
      <c r="L69" s="118"/>
      <c r="M69" s="118"/>
    </row>
    <row r="70" spans="1:14" ht="27" customHeight="1" x14ac:dyDescent="0.25">
      <c r="A70" s="118"/>
      <c r="B70" s="1648" t="str">
        <f>Submittals!G100</f>
        <v>• Flush-out report including a description of the flush-out procedure implemented and a logbook with date, outdoor delivery rates, flushing duration, internal temperature, humidity;</v>
      </c>
      <c r="C70" s="1649"/>
      <c r="D70" s="1649"/>
      <c r="E70" s="1649"/>
      <c r="F70" s="1649"/>
      <c r="G70" s="991" t="s">
        <v>53</v>
      </c>
      <c r="H70" s="1689"/>
      <c r="I70" s="1690"/>
      <c r="J70" s="118"/>
      <c r="K70" s="118"/>
      <c r="L70" s="118"/>
      <c r="M70" s="118"/>
      <c r="N70" s="35" t="str">
        <f>IF(OR(B70="/",B70="No evidence required at this submission stage"),"Yes",IF(G70="Submitted","Yes","No"))</f>
        <v>No</v>
      </c>
    </row>
    <row r="71" spans="1:14" ht="27" customHeight="1" x14ac:dyDescent="0.25">
      <c r="A71" s="118"/>
      <c r="B71" s="1648" t="str">
        <f>Submittals!G101</f>
        <v>• Evidence that the flush-out was implemented such as photographs, etc.</v>
      </c>
      <c r="C71" s="1649"/>
      <c r="D71" s="1649"/>
      <c r="E71" s="1649"/>
      <c r="F71" s="1649"/>
      <c r="G71" s="991" t="s">
        <v>53</v>
      </c>
      <c r="H71" s="1689"/>
      <c r="I71" s="1690"/>
      <c r="J71" s="118"/>
      <c r="K71" s="118"/>
      <c r="L71" s="118"/>
      <c r="M71" s="118"/>
      <c r="N71" s="35" t="str">
        <f>IF(OR(B71="/",B71="No evidence required at this submission stage"),"Yes",IF(G71="Submitted","Yes","No"))</f>
        <v>No</v>
      </c>
    </row>
    <row r="72" spans="1:14" ht="19.5" customHeight="1" x14ac:dyDescent="0.25">
      <c r="A72" s="118"/>
      <c r="B72" s="118"/>
      <c r="C72" s="118"/>
      <c r="D72" s="118"/>
      <c r="E72" s="118"/>
      <c r="F72" s="118"/>
      <c r="G72" s="118"/>
      <c r="H72" s="118"/>
      <c r="I72" s="118"/>
      <c r="J72" s="118"/>
      <c r="K72" s="118"/>
      <c r="L72" s="118"/>
      <c r="M72" s="118"/>
    </row>
    <row r="73" spans="1:14" ht="16.5" customHeight="1" x14ac:dyDescent="0.25">
      <c r="A73" s="1004" t="s">
        <v>5</v>
      </c>
      <c r="B73" s="43"/>
      <c r="C73" s="43"/>
      <c r="D73" s="118"/>
      <c r="E73" s="118"/>
      <c r="F73" s="118"/>
      <c r="G73" s="118"/>
      <c r="H73" s="118"/>
      <c r="I73" s="118"/>
      <c r="J73" s="118"/>
      <c r="K73" s="118"/>
      <c r="L73" s="118"/>
      <c r="M73" s="118"/>
    </row>
    <row r="74" spans="1:14" x14ac:dyDescent="0.25">
      <c r="A74" s="118"/>
      <c r="B74" s="118"/>
      <c r="C74" s="118"/>
      <c r="D74" s="118"/>
      <c r="E74" s="118"/>
      <c r="F74" s="118"/>
      <c r="G74" s="118"/>
      <c r="H74" s="118"/>
      <c r="I74" s="118"/>
      <c r="J74" s="118"/>
      <c r="K74" s="118"/>
      <c r="L74" s="118"/>
      <c r="M74" s="118"/>
    </row>
    <row r="75" spans="1:14" ht="18" customHeight="1" x14ac:dyDescent="0.25">
      <c r="A75" s="118"/>
      <c r="B75" s="107" t="s">
        <v>16</v>
      </c>
      <c r="C75" s="108">
        <f>IF(D28="Flush-out Procedure",IF(D65="Yes",1,0),0)</f>
        <v>0</v>
      </c>
      <c r="D75" s="118"/>
      <c r="E75" s="118"/>
      <c r="F75" s="118"/>
      <c r="G75" s="118"/>
      <c r="H75" s="118"/>
      <c r="I75" s="118"/>
      <c r="J75" s="118"/>
      <c r="K75" s="118"/>
      <c r="L75" s="118"/>
      <c r="M75" s="118"/>
    </row>
    <row r="76" spans="1:14" ht="18" customHeight="1" x14ac:dyDescent="0.25">
      <c r="A76" s="118"/>
      <c r="B76" s="109" t="s">
        <v>133</v>
      </c>
      <c r="C76" s="8" t="str">
        <f>IF(AND(COUNTIF(N70:N71,"Yes")=2,C75&gt;0),"Yes","No")</f>
        <v>No</v>
      </c>
      <c r="D76" s="118"/>
      <c r="E76" s="118"/>
      <c r="F76" s="118"/>
      <c r="G76" s="118"/>
      <c r="H76" s="118"/>
      <c r="I76" s="118"/>
      <c r="J76" s="118"/>
      <c r="K76" s="118"/>
      <c r="L76" s="118"/>
      <c r="M76" s="118"/>
    </row>
    <row r="77" spans="1:14" ht="22.5" customHeight="1" x14ac:dyDescent="0.25">
      <c r="A77" s="118"/>
      <c r="B77" s="118"/>
      <c r="C77" s="118"/>
      <c r="D77" s="118"/>
      <c r="E77" s="118"/>
      <c r="F77" s="118"/>
      <c r="G77" s="118"/>
      <c r="H77" s="118"/>
      <c r="I77" s="118"/>
      <c r="J77" s="118"/>
      <c r="K77" s="118"/>
      <c r="L77" s="118"/>
      <c r="M77" s="118"/>
    </row>
    <row r="78" spans="1:14" ht="18" customHeight="1" x14ac:dyDescent="0.25">
      <c r="A78" s="2107" t="s">
        <v>2386</v>
      </c>
      <c r="B78" s="2107"/>
      <c r="C78" s="2107"/>
      <c r="D78" s="2107"/>
      <c r="E78" s="309"/>
      <c r="F78" s="309"/>
      <c r="G78" s="309"/>
      <c r="H78" s="309"/>
      <c r="I78" s="309"/>
      <c r="J78" s="309"/>
      <c r="K78" s="309"/>
      <c r="L78" s="309"/>
      <c r="M78" s="309"/>
    </row>
    <row r="79" spans="1:14" x14ac:dyDescent="0.25">
      <c r="A79" s="308"/>
      <c r="B79" s="309"/>
      <c r="C79" s="309"/>
      <c r="D79" s="309"/>
      <c r="E79" s="309"/>
      <c r="F79" s="308"/>
      <c r="G79" s="308"/>
      <c r="H79" s="308"/>
      <c r="I79" s="308"/>
      <c r="J79" s="308"/>
      <c r="K79" s="308"/>
      <c r="L79" s="308"/>
      <c r="M79" s="308"/>
    </row>
    <row r="80" spans="1:14" ht="16.5" customHeight="1" x14ac:dyDescent="0.25">
      <c r="A80" s="1010" t="s">
        <v>102</v>
      </c>
      <c r="B80" s="43"/>
      <c r="C80" s="43"/>
      <c r="D80" s="309"/>
      <c r="E80" s="309"/>
      <c r="F80" s="309"/>
      <c r="G80" s="309"/>
      <c r="H80" s="309"/>
      <c r="I80" s="309"/>
      <c r="J80" s="309"/>
      <c r="K80" s="309"/>
      <c r="L80" s="309"/>
      <c r="M80" s="309"/>
    </row>
    <row r="81" spans="1:15" x14ac:dyDescent="0.25">
      <c r="A81" s="309"/>
      <c r="B81" s="309"/>
      <c r="C81" s="309"/>
      <c r="D81" s="309"/>
      <c r="E81" s="309"/>
      <c r="F81" s="309"/>
      <c r="G81" s="309"/>
      <c r="H81" s="309"/>
      <c r="I81" s="309"/>
      <c r="J81" s="309"/>
      <c r="K81" s="309"/>
      <c r="L81" s="309"/>
      <c r="M81" s="309"/>
    </row>
    <row r="82" spans="1:15" x14ac:dyDescent="0.25">
      <c r="A82" s="309"/>
      <c r="B82" s="537" t="s">
        <v>545</v>
      </c>
      <c r="C82" s="538"/>
      <c r="D82" s="538"/>
      <c r="E82" s="538"/>
      <c r="F82" s="538"/>
      <c r="G82" s="309"/>
      <c r="H82" s="309"/>
      <c r="I82" s="309"/>
      <c r="J82" s="309"/>
      <c r="K82" s="309"/>
      <c r="L82" s="309"/>
      <c r="M82" s="309"/>
    </row>
    <row r="83" spans="1:15" x14ac:dyDescent="0.25">
      <c r="A83" s="309"/>
      <c r="B83" s="538"/>
      <c r="C83" s="538"/>
      <c r="D83" s="538"/>
      <c r="E83" s="538"/>
      <c r="F83" s="538"/>
      <c r="G83" s="309"/>
      <c r="H83" s="309"/>
      <c r="I83" s="309"/>
      <c r="J83" s="309"/>
      <c r="K83" s="309"/>
      <c r="L83" s="309"/>
      <c r="M83" s="309"/>
    </row>
    <row r="84" spans="1:15" ht="27" customHeight="1" x14ac:dyDescent="0.25">
      <c r="A84" s="309"/>
      <c r="B84" s="537" t="s">
        <v>429</v>
      </c>
      <c r="C84" s="538"/>
      <c r="D84" s="538"/>
      <c r="E84" s="538"/>
      <c r="F84" s="538"/>
      <c r="G84" s="309"/>
      <c r="H84" s="309"/>
      <c r="I84" s="309"/>
      <c r="J84" s="309"/>
      <c r="K84" s="309"/>
      <c r="L84" s="309"/>
      <c r="M84" s="309"/>
    </row>
    <row r="85" spans="1:15" x14ac:dyDescent="0.25">
      <c r="A85" s="309"/>
      <c r="B85" s="536"/>
      <c r="C85" s="538"/>
      <c r="D85" s="538"/>
      <c r="E85" s="538"/>
      <c r="F85" s="538"/>
      <c r="G85" s="309"/>
      <c r="H85" s="309"/>
      <c r="I85" s="309"/>
      <c r="J85" s="309"/>
      <c r="K85" s="309"/>
      <c r="L85" s="309"/>
      <c r="M85" s="309"/>
    </row>
    <row r="86" spans="1:15" x14ac:dyDescent="0.25">
      <c r="A86" s="309"/>
      <c r="B86" s="2258" t="s">
        <v>703</v>
      </c>
      <c r="C86" s="2258"/>
      <c r="D86" s="2258"/>
      <c r="E86" s="2258"/>
      <c r="F86" s="2258"/>
      <c r="G86" s="309"/>
      <c r="H86" s="309"/>
      <c r="I86" s="309"/>
      <c r="J86" s="309"/>
      <c r="K86" s="309"/>
      <c r="L86" s="309"/>
      <c r="M86" s="309"/>
    </row>
    <row r="87" spans="1:15" ht="11.25" customHeight="1" x14ac:dyDescent="0.25">
      <c r="A87" s="309"/>
      <c r="B87" s="328"/>
      <c r="C87" s="309"/>
      <c r="D87" s="309"/>
      <c r="E87" s="309"/>
      <c r="F87" s="309"/>
      <c r="G87" s="309"/>
      <c r="H87" s="309"/>
      <c r="I87" s="309"/>
      <c r="J87" s="309"/>
      <c r="K87" s="309"/>
      <c r="L87" s="309"/>
      <c r="M87" s="309"/>
    </row>
    <row r="88" spans="1:15" ht="18" customHeight="1" x14ac:dyDescent="0.25">
      <c r="A88" s="309"/>
      <c r="B88" s="1648" t="s">
        <v>846</v>
      </c>
      <c r="C88" s="1649"/>
      <c r="D88" s="1649"/>
      <c r="E88" s="1649"/>
      <c r="F88" s="1650"/>
      <c r="G88" s="991" t="s">
        <v>53</v>
      </c>
      <c r="H88" s="309"/>
      <c r="I88" s="309"/>
      <c r="J88" s="309"/>
      <c r="K88" s="309"/>
      <c r="L88" s="309"/>
      <c r="M88" s="309"/>
      <c r="N88" s="53"/>
      <c r="O88" s="53"/>
    </row>
    <row r="89" spans="1:15" ht="18" customHeight="1" x14ac:dyDescent="0.25">
      <c r="A89" s="309"/>
      <c r="B89" s="1648" t="str">
        <f>IF('Project information'!$C$7="Certification stage","• Is the ductwork new (i.e. installed as part of or immediately prior project fitout works)?","• Will the ductwork be new (i.e. installed as part of or immediately prior project fitout works)?")</f>
        <v>• Is the ductwork new (i.e. installed as part of or immediately prior project fitout works)?</v>
      </c>
      <c r="C89" s="1649"/>
      <c r="D89" s="1649"/>
      <c r="E89" s="1649"/>
      <c r="F89" s="1650"/>
      <c r="G89" s="991" t="s">
        <v>53</v>
      </c>
      <c r="H89" s="309"/>
      <c r="I89" s="309"/>
      <c r="J89" s="309"/>
      <c r="K89" s="309"/>
      <c r="L89" s="309"/>
      <c r="M89" s="309"/>
      <c r="N89" s="53"/>
      <c r="O89" s="53"/>
    </row>
    <row r="90" spans="1:15" ht="18" customHeight="1" x14ac:dyDescent="0.25">
      <c r="A90" s="309"/>
      <c r="B90" s="1648" t="str">
        <f>IF('Project information'!$C$7="Certification stage","• Has all accessible supply air ductwork been cleaned to remove dust, dirt and mould prior to occupancy?","• Will all accessible supply air ductwork be cleaned to remove dust, dirt and mould prior to occupancy?")</f>
        <v>• Has all accessible supply air ductwork been cleaned to remove dust, dirt and mould prior to occupancy?</v>
      </c>
      <c r="C90" s="1649"/>
      <c r="D90" s="1649"/>
      <c r="E90" s="1649"/>
      <c r="F90" s="1650"/>
      <c r="G90" s="991" t="s">
        <v>53</v>
      </c>
      <c r="H90" s="309"/>
      <c r="I90" s="309"/>
      <c r="J90" s="309"/>
      <c r="K90" s="309"/>
      <c r="L90" s="309"/>
      <c r="M90" s="309"/>
      <c r="N90" s="53"/>
      <c r="O90" s="53"/>
    </row>
    <row r="91" spans="1:15" x14ac:dyDescent="0.25">
      <c r="A91" s="309"/>
      <c r="B91" s="309"/>
      <c r="C91" s="309"/>
      <c r="D91" s="309"/>
      <c r="E91" s="309"/>
      <c r="F91" s="309"/>
      <c r="G91" s="309"/>
      <c r="H91" s="309"/>
      <c r="I91" s="309"/>
      <c r="J91" s="309"/>
      <c r="K91" s="309"/>
      <c r="L91" s="309"/>
      <c r="M91" s="309"/>
    </row>
    <row r="92" spans="1:15" ht="18" customHeight="1" x14ac:dyDescent="0.25">
      <c r="A92" s="309"/>
      <c r="B92" s="2124" t="s">
        <v>546</v>
      </c>
      <c r="C92" s="2125"/>
      <c r="D92" s="2126"/>
      <c r="E92" s="66" t="str">
        <f>IF(OR(G89="Yes",G88="No"),"N/A",IF(AND(G88="Yes",G89="No",G90="Yes"),"Yes","No"))</f>
        <v>No</v>
      </c>
      <c r="F92" s="309"/>
      <c r="G92" s="309"/>
      <c r="H92" s="309"/>
      <c r="I92" s="309"/>
      <c r="J92" s="309"/>
      <c r="K92" s="309"/>
      <c r="L92" s="309"/>
      <c r="M92" s="309"/>
    </row>
    <row r="93" spans="1:15" ht="19.5" customHeight="1" x14ac:dyDescent="0.25">
      <c r="A93" s="309"/>
      <c r="B93" s="309"/>
      <c r="C93" s="309"/>
      <c r="D93" s="309"/>
      <c r="E93" s="309"/>
      <c r="F93" s="309"/>
      <c r="G93" s="309"/>
      <c r="H93" s="309"/>
      <c r="I93" s="309"/>
      <c r="J93" s="309"/>
      <c r="K93" s="309"/>
      <c r="L93" s="309"/>
      <c r="M93" s="309"/>
    </row>
    <row r="94" spans="1:15" ht="16.5" customHeight="1" x14ac:dyDescent="0.25">
      <c r="A94" s="1010" t="s">
        <v>84</v>
      </c>
      <c r="B94" s="43"/>
      <c r="C94" s="43"/>
      <c r="D94" s="309"/>
      <c r="E94" s="309"/>
      <c r="F94" s="309"/>
      <c r="G94" s="309"/>
      <c r="H94" s="309"/>
      <c r="I94" s="309"/>
      <c r="J94" s="309"/>
      <c r="K94" s="309"/>
      <c r="L94" s="309"/>
      <c r="M94" s="309"/>
    </row>
    <row r="95" spans="1:15" ht="18" customHeight="1" x14ac:dyDescent="0.25">
      <c r="A95" s="309"/>
      <c r="B95" s="309"/>
      <c r="C95" s="309"/>
      <c r="D95" s="309"/>
      <c r="E95" s="309"/>
      <c r="F95" s="309"/>
      <c r="G95" s="309"/>
      <c r="H95" s="309"/>
      <c r="I95" s="309"/>
      <c r="J95" s="309"/>
      <c r="K95" s="309"/>
      <c r="L95" s="309"/>
      <c r="M95" s="309"/>
    </row>
    <row r="96" spans="1:15" ht="18" customHeight="1" x14ac:dyDescent="0.25">
      <c r="A96" s="309"/>
      <c r="B96" s="2104" t="s">
        <v>85</v>
      </c>
      <c r="C96" s="2105"/>
      <c r="D96" s="2105"/>
      <c r="E96" s="2105"/>
      <c r="F96" s="2105"/>
      <c r="G96" s="1005" t="s">
        <v>907</v>
      </c>
      <c r="H96" s="2106" t="s">
        <v>908</v>
      </c>
      <c r="I96" s="2174"/>
      <c r="J96" s="309"/>
      <c r="K96" s="309"/>
      <c r="L96" s="309"/>
      <c r="M96" s="309"/>
    </row>
    <row r="97" spans="1:14" ht="27" customHeight="1" x14ac:dyDescent="0.25">
      <c r="A97" s="309"/>
      <c r="B97" s="1648" t="str">
        <f>Submittals!G102</f>
        <v>• Evidence that dust, dirt and mould have been removed from all accessible supply air ductwork prior to occupancy such as cleaning contract, photographs, etc.</v>
      </c>
      <c r="C97" s="1649" t="e">
        <f>Submittals!#REF!</f>
        <v>#REF!</v>
      </c>
      <c r="D97" s="1649"/>
      <c r="E97" s="1649"/>
      <c r="F97" s="1649"/>
      <c r="G97" s="991" t="s">
        <v>53</v>
      </c>
      <c r="H97" s="1689"/>
      <c r="I97" s="1690"/>
      <c r="J97" s="748"/>
      <c r="K97" s="309"/>
      <c r="L97" s="309"/>
      <c r="M97" s="309"/>
      <c r="N97" s="35" t="str">
        <f>IF(OR(B97="/",B97="No evidence required at this submission stage"),"Yes",IF(G97="Submitted","Yes","No"))</f>
        <v>No</v>
      </c>
    </row>
    <row r="98" spans="1:14" ht="19.5" customHeight="1" x14ac:dyDescent="0.25">
      <c r="A98" s="309"/>
      <c r="B98" s="309"/>
      <c r="C98" s="309"/>
      <c r="D98" s="309"/>
      <c r="E98" s="309"/>
      <c r="F98" s="309"/>
      <c r="G98" s="309"/>
      <c r="H98" s="309"/>
      <c r="I98" s="309"/>
      <c r="J98" s="309"/>
      <c r="K98" s="309"/>
      <c r="L98" s="309"/>
      <c r="M98" s="309"/>
    </row>
    <row r="99" spans="1:14" ht="16.5" customHeight="1" x14ac:dyDescent="0.25">
      <c r="A99" s="1004" t="s">
        <v>5</v>
      </c>
      <c r="B99" s="43"/>
      <c r="C99" s="43"/>
      <c r="D99" s="309"/>
      <c r="E99" s="309"/>
      <c r="F99" s="309"/>
      <c r="G99" s="309"/>
      <c r="H99" s="309"/>
      <c r="I99" s="309"/>
      <c r="J99" s="309"/>
      <c r="K99" s="309"/>
      <c r="L99" s="309"/>
      <c r="M99" s="309"/>
    </row>
    <row r="100" spans="1:14" x14ac:dyDescent="0.25">
      <c r="A100" s="309"/>
      <c r="B100" s="309"/>
      <c r="C100" s="309"/>
      <c r="D100" s="309"/>
      <c r="E100" s="309"/>
      <c r="F100" s="309"/>
      <c r="G100" s="309"/>
      <c r="H100" s="309"/>
      <c r="I100" s="309"/>
      <c r="J100" s="309"/>
      <c r="K100" s="309"/>
      <c r="L100" s="309"/>
      <c r="M100" s="309"/>
    </row>
    <row r="101" spans="1:14" ht="18" customHeight="1" x14ac:dyDescent="0.25">
      <c r="A101" s="309"/>
      <c r="B101" s="107" t="s">
        <v>16</v>
      </c>
      <c r="C101" s="108">
        <f>IF(D28="Clean air supply ductwork",IF(E92="Yes",1,0),0)</f>
        <v>0</v>
      </c>
      <c r="D101" s="309"/>
      <c r="E101" s="309"/>
      <c r="F101" s="309"/>
      <c r="G101" s="309"/>
      <c r="H101" s="309"/>
      <c r="I101" s="309"/>
      <c r="J101" s="309"/>
      <c r="K101" s="309"/>
      <c r="L101" s="309"/>
      <c r="M101" s="309"/>
    </row>
    <row r="102" spans="1:14" ht="18" customHeight="1" x14ac:dyDescent="0.25">
      <c r="A102" s="309"/>
      <c r="B102" s="109" t="s">
        <v>133</v>
      </c>
      <c r="C102" s="108" t="str">
        <f>IF(AND(COUNTIF(N97,"Yes")=1,C101&gt;0),"Yes","No")</f>
        <v>No</v>
      </c>
      <c r="D102" s="309"/>
      <c r="E102" s="309"/>
      <c r="F102" s="309"/>
      <c r="G102" s="309"/>
      <c r="H102" s="309"/>
      <c r="I102" s="309"/>
      <c r="J102" s="309"/>
      <c r="K102" s="309"/>
      <c r="L102" s="309"/>
      <c r="M102" s="309"/>
    </row>
    <row r="103" spans="1:14" ht="19.5" customHeight="1" x14ac:dyDescent="0.25">
      <c r="A103" s="329"/>
      <c r="B103" s="329"/>
      <c r="C103" s="329"/>
      <c r="D103" s="329"/>
      <c r="E103" s="329"/>
      <c r="F103" s="329"/>
      <c r="G103" s="329"/>
      <c r="H103" s="329"/>
      <c r="I103" s="329"/>
      <c r="J103" s="329"/>
      <c r="K103" s="329"/>
      <c r="L103" s="329"/>
      <c r="M103" s="329"/>
    </row>
    <row r="104" spans="1:14" ht="19.5" customHeight="1" x14ac:dyDescent="0.25">
      <c r="A104" s="2107" t="s">
        <v>2380</v>
      </c>
      <c r="B104" s="2107"/>
      <c r="C104" s="2107"/>
      <c r="D104" s="2107"/>
      <c r="E104" s="2107"/>
      <c r="F104" s="2107"/>
      <c r="G104" s="2107"/>
      <c r="H104" s="2107"/>
      <c r="I104" s="2107"/>
      <c r="J104" s="2107"/>
      <c r="K104" s="2107"/>
      <c r="L104" s="2107"/>
      <c r="M104" s="2107"/>
    </row>
    <row r="105" spans="1:14" x14ac:dyDescent="0.25">
      <c r="A105" s="45"/>
      <c r="B105" s="46"/>
      <c r="C105" s="46"/>
      <c r="D105" s="46"/>
      <c r="E105" s="45"/>
      <c r="F105" s="45"/>
      <c r="G105" s="45"/>
      <c r="H105" s="45"/>
      <c r="I105" s="45"/>
      <c r="J105" s="45"/>
      <c r="K105" s="45"/>
      <c r="L105" s="45"/>
      <c r="M105" s="45"/>
    </row>
    <row r="106" spans="1:14" ht="16.5" customHeight="1" x14ac:dyDescent="0.25">
      <c r="A106" s="2117" t="s">
        <v>102</v>
      </c>
      <c r="B106" s="2117"/>
      <c r="C106" s="2117"/>
      <c r="D106" s="46"/>
      <c r="E106" s="45"/>
      <c r="F106" s="45"/>
      <c r="G106" s="45"/>
      <c r="H106" s="45"/>
      <c r="I106" s="45"/>
      <c r="J106" s="45"/>
      <c r="K106" s="45"/>
      <c r="L106" s="45"/>
      <c r="M106" s="45"/>
    </row>
    <row r="107" spans="1:14" ht="12" customHeight="1" x14ac:dyDescent="0.25">
      <c r="A107" s="45"/>
      <c r="B107" s="46"/>
      <c r="C107" s="46"/>
      <c r="D107" s="46"/>
      <c r="E107" s="46"/>
      <c r="F107" s="45"/>
      <c r="G107" s="45"/>
      <c r="H107" s="45"/>
      <c r="I107" s="45"/>
      <c r="J107" s="45"/>
      <c r="K107" s="45"/>
      <c r="L107" s="45"/>
      <c r="M107" s="45"/>
    </row>
    <row r="108" spans="1:14" x14ac:dyDescent="0.25">
      <c r="A108" s="45"/>
      <c r="B108" s="565" t="s">
        <v>516</v>
      </c>
      <c r="C108" s="46"/>
      <c r="D108" s="46"/>
      <c r="E108" s="46"/>
      <c r="F108" s="45"/>
      <c r="G108" s="45"/>
      <c r="H108" s="45"/>
      <c r="I108" s="45"/>
      <c r="J108" s="45"/>
      <c r="K108" s="45"/>
      <c r="L108" s="45"/>
      <c r="M108" s="45"/>
    </row>
    <row r="109" spans="1:14" ht="12" customHeight="1" x14ac:dyDescent="0.25">
      <c r="A109" s="45"/>
      <c r="B109" s="112"/>
      <c r="C109" s="46"/>
      <c r="D109" s="46"/>
      <c r="E109" s="46"/>
      <c r="F109" s="45"/>
      <c r="G109" s="45"/>
      <c r="H109" s="45"/>
      <c r="I109" s="45"/>
      <c r="J109" s="45"/>
      <c r="K109" s="45"/>
      <c r="L109" s="45"/>
      <c r="M109" s="45"/>
    </row>
    <row r="110" spans="1:14" ht="15.75" x14ac:dyDescent="0.3">
      <c r="A110" s="45"/>
      <c r="B110" s="994" t="s">
        <v>704</v>
      </c>
      <c r="C110" s="996"/>
      <c r="D110" s="996"/>
      <c r="E110" s="996"/>
      <c r="F110" s="996"/>
      <c r="G110" s="996"/>
      <c r="H110" s="996"/>
      <c r="I110" s="996"/>
      <c r="J110" s="996"/>
      <c r="K110" s="996"/>
      <c r="L110" s="997"/>
      <c r="M110" s="45"/>
    </row>
    <row r="111" spans="1:14" ht="6" customHeight="1" x14ac:dyDescent="0.25">
      <c r="A111" s="45"/>
      <c r="B111" s="1013"/>
      <c r="C111" s="514"/>
      <c r="D111" s="514"/>
      <c r="E111" s="514"/>
      <c r="F111" s="514"/>
      <c r="G111" s="514"/>
      <c r="H111" s="514"/>
      <c r="I111" s="514"/>
      <c r="J111" s="514"/>
      <c r="K111" s="514"/>
      <c r="L111" s="515"/>
      <c r="M111" s="45"/>
    </row>
    <row r="112" spans="1:14" ht="15" customHeight="1" x14ac:dyDescent="0.3">
      <c r="A112" s="45"/>
      <c r="B112" s="1013" t="s">
        <v>705</v>
      </c>
      <c r="C112" s="1002"/>
      <c r="D112" s="1002"/>
      <c r="E112" s="1002"/>
      <c r="F112" s="1002"/>
      <c r="G112" s="1002"/>
      <c r="H112" s="1002"/>
      <c r="I112" s="1002"/>
      <c r="J112" s="1002"/>
      <c r="K112" s="1002"/>
      <c r="L112" s="1003"/>
      <c r="M112" s="117"/>
    </row>
    <row r="113" spans="1:14" ht="16.5" customHeight="1" x14ac:dyDescent="0.25">
      <c r="A113" s="45"/>
      <c r="B113" s="999" t="s">
        <v>521</v>
      </c>
      <c r="C113" s="516"/>
      <c r="D113" s="516"/>
      <c r="E113" s="516"/>
      <c r="F113" s="516"/>
      <c r="G113" s="516"/>
      <c r="H113" s="516"/>
      <c r="I113" s="516"/>
      <c r="J113" s="516"/>
      <c r="K113" s="516"/>
      <c r="L113" s="517"/>
      <c r="M113" s="508"/>
    </row>
    <row r="114" spans="1:14" ht="61.5" customHeight="1" x14ac:dyDescent="0.25">
      <c r="A114" s="45"/>
      <c r="B114" s="1643" t="s">
        <v>1457</v>
      </c>
      <c r="C114" s="1644"/>
      <c r="D114" s="1644"/>
      <c r="E114" s="1644"/>
      <c r="F114" s="1644"/>
      <c r="G114" s="1644"/>
      <c r="H114" s="1644"/>
      <c r="I114" s="1644"/>
      <c r="J114" s="1644"/>
      <c r="K114" s="1644"/>
      <c r="L114" s="1645"/>
      <c r="M114" s="508"/>
    </row>
    <row r="115" spans="1:14" ht="6" customHeight="1" x14ac:dyDescent="0.25">
      <c r="A115" s="45"/>
      <c r="B115" s="1007"/>
      <c r="C115" s="1008"/>
      <c r="D115" s="1008"/>
      <c r="E115" s="1008"/>
      <c r="F115" s="1008"/>
      <c r="G115" s="1008"/>
      <c r="H115" s="1008"/>
      <c r="I115" s="1008"/>
      <c r="J115" s="1008"/>
      <c r="K115" s="1008"/>
      <c r="L115" s="1009"/>
      <c r="M115" s="508"/>
    </row>
    <row r="116" spans="1:14" ht="15.75" x14ac:dyDescent="0.3">
      <c r="A116" s="45"/>
      <c r="B116" s="1013" t="s">
        <v>713</v>
      </c>
      <c r="C116" s="1008"/>
      <c r="D116" s="1008"/>
      <c r="E116" s="1008"/>
      <c r="F116" s="1008"/>
      <c r="G116" s="1008"/>
      <c r="H116" s="1008"/>
      <c r="I116" s="1008"/>
      <c r="J116" s="1008"/>
      <c r="K116" s="1008"/>
      <c r="L116" s="1009"/>
      <c r="M116" s="508"/>
    </row>
    <row r="117" spans="1:14" x14ac:dyDescent="0.25">
      <c r="A117" s="45"/>
      <c r="B117" s="477" t="s">
        <v>712</v>
      </c>
      <c r="C117" s="523"/>
      <c r="D117" s="523"/>
      <c r="E117" s="523"/>
      <c r="F117" s="523"/>
      <c r="G117" s="523"/>
      <c r="H117" s="523"/>
      <c r="I117" s="523"/>
      <c r="J117" s="523"/>
      <c r="K117" s="523"/>
      <c r="L117" s="524"/>
      <c r="M117" s="508"/>
    </row>
    <row r="118" spans="1:14" x14ac:dyDescent="0.25">
      <c r="A118" s="45"/>
      <c r="B118" s="508"/>
      <c r="C118" s="508"/>
      <c r="D118" s="508"/>
      <c r="E118" s="508"/>
      <c r="F118" s="508"/>
      <c r="G118" s="508"/>
      <c r="H118" s="508"/>
      <c r="I118" s="508"/>
      <c r="J118" s="508"/>
      <c r="K118" s="508"/>
      <c r="L118" s="508"/>
      <c r="M118" s="508"/>
    </row>
    <row r="119" spans="1:14" ht="15" customHeight="1" x14ac:dyDescent="0.25">
      <c r="A119" s="45"/>
      <c r="B119" s="1836" t="s">
        <v>780</v>
      </c>
      <c r="C119" s="1836"/>
      <c r="D119" s="1836"/>
      <c r="E119" s="1836"/>
      <c r="F119" s="1836"/>
      <c r="G119" s="1836"/>
      <c r="H119" s="1836"/>
      <c r="I119" s="1836"/>
      <c r="J119" s="508"/>
      <c r="K119" s="508"/>
      <c r="L119" s="508"/>
      <c r="M119" s="508"/>
    </row>
    <row r="120" spans="1:14" x14ac:dyDescent="0.25">
      <c r="A120" s="45"/>
      <c r="B120" s="508"/>
      <c r="C120" s="508"/>
      <c r="D120" s="508"/>
      <c r="E120" s="508"/>
      <c r="F120" s="508"/>
      <c r="G120" s="508"/>
      <c r="H120" s="508"/>
      <c r="I120" s="508"/>
      <c r="J120" s="508"/>
      <c r="K120" s="508"/>
      <c r="L120" s="508"/>
      <c r="M120" s="508"/>
    </row>
    <row r="121" spans="1:14" ht="28.5" x14ac:dyDescent="0.25">
      <c r="A121" s="45"/>
      <c r="B121" s="1011" t="s">
        <v>517</v>
      </c>
      <c r="C121" s="1006" t="s">
        <v>711</v>
      </c>
      <c r="D121" s="1006" t="s">
        <v>714</v>
      </c>
      <c r="E121" s="1006" t="s">
        <v>519</v>
      </c>
      <c r="F121" s="2127" t="s">
        <v>518</v>
      </c>
      <c r="G121" s="2127"/>
      <c r="H121" s="1006" t="s">
        <v>520</v>
      </c>
      <c r="I121" s="1006" t="s">
        <v>522</v>
      </c>
      <c r="J121" s="45"/>
      <c r="K121" s="45"/>
      <c r="L121" s="45"/>
      <c r="M121" s="45"/>
    </row>
    <row r="122" spans="1:14" ht="15" customHeight="1" x14ac:dyDescent="0.25">
      <c r="A122" s="45"/>
      <c r="B122" s="991"/>
      <c r="C122" s="991"/>
      <c r="D122" s="1014"/>
      <c r="E122" s="1014"/>
      <c r="F122" s="1634" t="s">
        <v>53</v>
      </c>
      <c r="G122" s="1634"/>
      <c r="H122" s="991" t="s">
        <v>53</v>
      </c>
      <c r="I122" s="991"/>
      <c r="J122" s="45"/>
      <c r="K122" s="45"/>
      <c r="L122" s="45"/>
      <c r="M122" s="45"/>
      <c r="N122" s="543" t="str">
        <f>IFERROR(IF(C122/D122&lt;=3,IF(AND(E122&gt;=1,F122&lt;&gt;"",F122&lt;&gt;"Select",H122&lt;&gt;"",H122&lt;&gt;"Select",I122&lt;&gt;""),"Yes","No"),IF(AND(E122&gt;=1,F122&lt;&gt;"",F122&lt;&gt;"Select",H122&lt;&gt;"",H122&lt;&gt;"Select",I122&lt;&gt;""),"Yes","")),"")</f>
        <v/>
      </c>
    </row>
    <row r="123" spans="1:14" ht="15" customHeight="1" x14ac:dyDescent="0.25">
      <c r="A123" s="45"/>
      <c r="B123" s="991"/>
      <c r="C123" s="991"/>
      <c r="D123" s="1014"/>
      <c r="E123" s="1014"/>
      <c r="F123" s="1634" t="s">
        <v>53</v>
      </c>
      <c r="G123" s="1634"/>
      <c r="H123" s="991" t="s">
        <v>53</v>
      </c>
      <c r="I123" s="991"/>
      <c r="J123" s="45"/>
      <c r="K123" s="45"/>
      <c r="L123" s="45"/>
      <c r="M123" s="45"/>
      <c r="N123" s="543" t="str">
        <f>IFERROR(IF(C123/D123&lt;=3,IF(AND(E123&gt;=1,F123&lt;&gt;"",F123&lt;&gt;"Select",H123&lt;&gt;"",H123&lt;&gt;"Select",I123&lt;&gt;""),"Yes","No"),IF(AND(E123&gt;=1,F123&lt;&gt;"",F123&lt;&gt;"Select",H123&lt;&gt;"",H123&lt;&gt;"Select",I123&lt;&gt;""),"Yes","")),"")</f>
        <v/>
      </c>
    </row>
    <row r="124" spans="1:14" ht="15" customHeight="1" x14ac:dyDescent="0.25">
      <c r="A124" s="45"/>
      <c r="B124" s="991"/>
      <c r="C124" s="991"/>
      <c r="D124" s="1014"/>
      <c r="E124" s="1014"/>
      <c r="F124" s="1634" t="s">
        <v>53</v>
      </c>
      <c r="G124" s="1634"/>
      <c r="H124" s="991" t="s">
        <v>53</v>
      </c>
      <c r="I124" s="991"/>
      <c r="J124" s="45"/>
      <c r="K124" s="45"/>
      <c r="L124" s="45"/>
      <c r="M124" s="45"/>
      <c r="N124" s="543" t="str">
        <f>IFERROR(IF(C124/D124&lt;=3,IF(AND(E124&gt;=1,F124&lt;&gt;"",F124&lt;&gt;"Select",H124&lt;&gt;"",H124&lt;&gt;"Select",I124&lt;&gt;""),"Yes","No"),IF(AND(E124&gt;=1,F124&lt;&gt;"",F124&lt;&gt;"Select",H124&lt;&gt;"",H124&lt;&gt;"Select",I124&lt;&gt;""),"Yes","")),"")</f>
        <v/>
      </c>
    </row>
    <row r="125" spans="1:14" ht="15" customHeight="1" x14ac:dyDescent="0.25">
      <c r="A125" s="45"/>
      <c r="B125" s="991"/>
      <c r="C125" s="991"/>
      <c r="D125" s="1014"/>
      <c r="E125" s="1014"/>
      <c r="F125" s="1634" t="s">
        <v>53</v>
      </c>
      <c r="G125" s="1634"/>
      <c r="H125" s="991" t="s">
        <v>53</v>
      </c>
      <c r="I125" s="991"/>
      <c r="J125" s="45"/>
      <c r="K125" s="45"/>
      <c r="L125" s="45"/>
      <c r="M125" s="45"/>
      <c r="N125" s="543" t="str">
        <f t="shared" ref="N125:N131" si="1">IFERROR(IF(C125/D125&lt;=3,IF(AND(E125&gt;=1,F125&lt;&gt;"",F125&lt;&gt;"Select",H125&lt;&gt;"",H125&lt;&gt;"Select",I125&lt;&gt;""),"Yes","No"),IF(AND(E125&gt;=1,F125&lt;&gt;"",F125&lt;&gt;"Select",H125&lt;&gt;"",H125&lt;&gt;"Select",I125&lt;&gt;""),"Yes","")),"")</f>
        <v/>
      </c>
    </row>
    <row r="126" spans="1:14" ht="15" customHeight="1" x14ac:dyDescent="0.25">
      <c r="A126" s="45"/>
      <c r="B126" s="991"/>
      <c r="C126" s="991"/>
      <c r="D126" s="1014"/>
      <c r="E126" s="1014"/>
      <c r="F126" s="1634" t="s">
        <v>53</v>
      </c>
      <c r="G126" s="1634"/>
      <c r="H126" s="991" t="s">
        <v>53</v>
      </c>
      <c r="I126" s="991"/>
      <c r="J126" s="45"/>
      <c r="K126" s="45"/>
      <c r="L126" s="45"/>
      <c r="M126" s="45"/>
      <c r="N126" s="543" t="str">
        <f t="shared" si="1"/>
        <v/>
      </c>
    </row>
    <row r="127" spans="1:14" ht="15" customHeight="1" x14ac:dyDescent="0.25">
      <c r="A127" s="45"/>
      <c r="B127" s="991"/>
      <c r="C127" s="991"/>
      <c r="D127" s="1014"/>
      <c r="E127" s="1014"/>
      <c r="F127" s="1634" t="s">
        <v>53</v>
      </c>
      <c r="G127" s="1634"/>
      <c r="H127" s="991" t="s">
        <v>53</v>
      </c>
      <c r="I127" s="991"/>
      <c r="J127" s="45"/>
      <c r="K127" s="45"/>
      <c r="L127" s="45"/>
      <c r="M127" s="45"/>
      <c r="N127" s="543" t="str">
        <f t="shared" si="1"/>
        <v/>
      </c>
    </row>
    <row r="128" spans="1:14" ht="15" customHeight="1" x14ac:dyDescent="0.25">
      <c r="A128" s="45"/>
      <c r="B128" s="991"/>
      <c r="C128" s="991"/>
      <c r="D128" s="1014"/>
      <c r="E128" s="1014"/>
      <c r="F128" s="1634" t="s">
        <v>53</v>
      </c>
      <c r="G128" s="1634"/>
      <c r="H128" s="991" t="s">
        <v>53</v>
      </c>
      <c r="I128" s="991"/>
      <c r="J128" s="45"/>
      <c r="K128" s="45"/>
      <c r="L128" s="45"/>
      <c r="M128" s="45"/>
      <c r="N128" s="543" t="str">
        <f t="shared" si="1"/>
        <v/>
      </c>
    </row>
    <row r="129" spans="1:14" ht="15" customHeight="1" x14ac:dyDescent="0.25">
      <c r="A129" s="45"/>
      <c r="B129" s="991"/>
      <c r="C129" s="991"/>
      <c r="D129" s="1014"/>
      <c r="E129" s="1014"/>
      <c r="F129" s="1634" t="s">
        <v>53</v>
      </c>
      <c r="G129" s="1634"/>
      <c r="H129" s="991" t="s">
        <v>53</v>
      </c>
      <c r="I129" s="991"/>
      <c r="J129" s="45"/>
      <c r="K129" s="45"/>
      <c r="L129" s="45"/>
      <c r="M129" s="45"/>
      <c r="N129" s="543" t="str">
        <f t="shared" si="1"/>
        <v/>
      </c>
    </row>
    <row r="130" spans="1:14" ht="15" customHeight="1" x14ac:dyDescent="0.25">
      <c r="A130" s="45"/>
      <c r="B130" s="991"/>
      <c r="C130" s="991"/>
      <c r="D130" s="1014"/>
      <c r="E130" s="1014"/>
      <c r="F130" s="1634" t="s">
        <v>53</v>
      </c>
      <c r="G130" s="1634"/>
      <c r="H130" s="991" t="s">
        <v>53</v>
      </c>
      <c r="I130" s="991"/>
      <c r="J130" s="45"/>
      <c r="K130" s="45"/>
      <c r="L130" s="45"/>
      <c r="M130" s="45"/>
      <c r="N130" s="543" t="str">
        <f t="shared" si="1"/>
        <v/>
      </c>
    </row>
    <row r="131" spans="1:14" ht="15" customHeight="1" x14ac:dyDescent="0.25">
      <c r="A131" s="45"/>
      <c r="B131" s="991"/>
      <c r="C131" s="991"/>
      <c r="D131" s="1014"/>
      <c r="E131" s="1014"/>
      <c r="F131" s="1634" t="s">
        <v>53</v>
      </c>
      <c r="G131" s="1634"/>
      <c r="H131" s="991" t="s">
        <v>53</v>
      </c>
      <c r="I131" s="991"/>
      <c r="J131" s="45"/>
      <c r="K131" s="45"/>
      <c r="L131" s="45"/>
      <c r="M131" s="45"/>
      <c r="N131" s="543" t="str">
        <f t="shared" si="1"/>
        <v/>
      </c>
    </row>
    <row r="132" spans="1:14" ht="18" customHeight="1" x14ac:dyDescent="0.25">
      <c r="A132" s="45"/>
      <c r="B132" s="270"/>
      <c r="C132" s="1016"/>
      <c r="D132" s="1016"/>
      <c r="E132" s="1016"/>
      <c r="F132" s="1016"/>
      <c r="G132" s="1016"/>
      <c r="H132" s="1016"/>
      <c r="I132" s="1016"/>
      <c r="J132" s="1016"/>
      <c r="K132" s="45"/>
      <c r="L132" s="45"/>
      <c r="M132" s="45"/>
    </row>
    <row r="133" spans="1:14" ht="18" customHeight="1" x14ac:dyDescent="0.25">
      <c r="A133" s="45"/>
      <c r="B133" s="2108" t="s">
        <v>250</v>
      </c>
      <c r="C133" s="2108"/>
      <c r="D133" s="66" t="str">
        <f>IF(AND(COUNTIF(N122:N131,"No")=0,COUNTIF(N122:N131,"Yes")&gt;=1),"Yes","No")</f>
        <v>No</v>
      </c>
      <c r="E133" s="45"/>
      <c r="F133" s="45"/>
      <c r="G133" s="45"/>
      <c r="H133" s="45"/>
      <c r="I133" s="45"/>
      <c r="J133" s="45"/>
      <c r="K133" s="45"/>
      <c r="L133" s="45"/>
      <c r="M133" s="45"/>
    </row>
    <row r="134" spans="1:14" ht="19.5" customHeight="1" x14ac:dyDescent="0.25">
      <c r="A134" s="45"/>
      <c r="B134" s="46"/>
      <c r="C134" s="46"/>
      <c r="D134" s="46"/>
      <c r="E134" s="45"/>
      <c r="F134" s="45"/>
      <c r="G134" s="45"/>
      <c r="H134" s="45"/>
      <c r="I134" s="45"/>
      <c r="J134" s="45"/>
      <c r="K134" s="45"/>
      <c r="L134" s="45"/>
      <c r="M134" s="45"/>
    </row>
    <row r="135" spans="1:14" ht="18" customHeight="1" x14ac:dyDescent="0.25">
      <c r="A135" s="2117" t="s">
        <v>84</v>
      </c>
      <c r="B135" s="2117"/>
      <c r="C135" s="2117"/>
      <c r="D135" s="46"/>
      <c r="E135" s="45"/>
      <c r="F135" s="45"/>
      <c r="G135" s="45"/>
      <c r="H135" s="45"/>
      <c r="I135" s="45"/>
      <c r="J135" s="45"/>
      <c r="K135" s="45"/>
      <c r="L135" s="45"/>
      <c r="M135" s="45"/>
    </row>
    <row r="136" spans="1:14" x14ac:dyDescent="0.25">
      <c r="A136" s="45"/>
      <c r="B136" s="46"/>
      <c r="C136" s="46"/>
      <c r="D136" s="46"/>
      <c r="E136" s="45"/>
      <c r="F136" s="45"/>
      <c r="G136" s="45"/>
      <c r="H136" s="45"/>
      <c r="I136" s="45"/>
      <c r="J136" s="45"/>
      <c r="K136" s="45"/>
      <c r="L136" s="45"/>
      <c r="M136" s="45"/>
    </row>
    <row r="137" spans="1:14" ht="21" customHeight="1" x14ac:dyDescent="0.25">
      <c r="A137" s="45"/>
      <c r="B137" s="2104" t="s">
        <v>85</v>
      </c>
      <c r="C137" s="2105"/>
      <c r="D137" s="2105"/>
      <c r="E137" s="2105"/>
      <c r="F137" s="2105"/>
      <c r="G137" s="1005" t="s">
        <v>907</v>
      </c>
      <c r="H137" s="2106" t="s">
        <v>908</v>
      </c>
      <c r="I137" s="2106"/>
      <c r="J137" s="45"/>
      <c r="K137" s="45"/>
      <c r="L137" s="45"/>
      <c r="M137" s="45"/>
    </row>
    <row r="138" spans="1:14" ht="30" customHeight="1" x14ac:dyDescent="0.25">
      <c r="A138" s="45"/>
      <c r="B138" s="1648" t="str">
        <f>Submittals!G104</f>
        <v>• Extract of an operation and maintenance manual indicating the procedures for operation, adjustment and maintenance of the CO2 monitoring system</v>
      </c>
      <c r="C138" s="1649"/>
      <c r="D138" s="1649"/>
      <c r="E138" s="1649"/>
      <c r="F138" s="1649"/>
      <c r="G138" s="991" t="s">
        <v>53</v>
      </c>
      <c r="H138" s="1689"/>
      <c r="I138" s="1690"/>
      <c r="J138" s="45"/>
      <c r="K138" s="45"/>
      <c r="L138" s="45"/>
      <c r="M138" s="45"/>
      <c r="N138" s="35" t="str">
        <f>IF(OR(B138="/",B138="No evidence required at this submission stage"),"Yes",IF(G138="Submitted","Yes","No"))</f>
        <v>No</v>
      </c>
    </row>
    <row r="139" spans="1:14" ht="30" customHeight="1" x14ac:dyDescent="0.25">
      <c r="A139" s="45"/>
      <c r="B139" s="1648" t="str">
        <f>Submittals!G105</f>
        <v>• Evidence of the CO2 monitoring system equipment installed, such as photographs, invoices, receipts, commissioning report, etc.</v>
      </c>
      <c r="C139" s="1649"/>
      <c r="D139" s="1649"/>
      <c r="E139" s="1649"/>
      <c r="F139" s="1649"/>
      <c r="G139" s="991" t="s">
        <v>53</v>
      </c>
      <c r="H139" s="1689"/>
      <c r="I139" s="1690"/>
      <c r="J139" s="45"/>
      <c r="K139" s="45"/>
      <c r="L139" s="45"/>
      <c r="M139" s="45"/>
      <c r="N139" s="35" t="str">
        <f>IF(OR(B139="/",B139="No evidence required at this submission stage"),"Yes",IF(G139="Submitted","Yes","No"))</f>
        <v>No</v>
      </c>
    </row>
    <row r="140" spans="1:14" ht="19.5" customHeight="1" x14ac:dyDescent="0.25">
      <c r="A140" s="45"/>
      <c r="B140" s="46"/>
      <c r="C140" s="46"/>
      <c r="D140" s="46"/>
      <c r="E140" s="45"/>
      <c r="F140" s="45"/>
      <c r="G140" s="45"/>
      <c r="H140" s="45"/>
      <c r="I140" s="45"/>
      <c r="J140" s="45"/>
      <c r="K140" s="45"/>
      <c r="L140" s="45"/>
      <c r="M140" s="45"/>
    </row>
    <row r="141" spans="1:14" ht="18" customHeight="1" x14ac:dyDescent="0.25">
      <c r="A141" s="2117" t="s">
        <v>5</v>
      </c>
      <c r="B141" s="2117"/>
      <c r="C141" s="2117"/>
      <c r="D141" s="46"/>
      <c r="E141" s="45"/>
      <c r="F141" s="45"/>
      <c r="G141" s="45"/>
      <c r="H141" s="45"/>
      <c r="I141" s="45"/>
      <c r="J141" s="45"/>
      <c r="K141" s="45"/>
      <c r="L141" s="45"/>
      <c r="M141" s="45"/>
    </row>
    <row r="142" spans="1:14" x14ac:dyDescent="0.25">
      <c r="A142" s="45"/>
      <c r="B142" s="46"/>
      <c r="C142" s="46"/>
      <c r="D142" s="46"/>
      <c r="E142" s="46"/>
      <c r="F142" s="45"/>
      <c r="G142" s="45"/>
      <c r="H142" s="45"/>
      <c r="I142" s="45"/>
      <c r="J142" s="45"/>
      <c r="K142" s="45"/>
      <c r="L142" s="45"/>
      <c r="M142" s="45"/>
    </row>
    <row r="143" spans="1:14" ht="18" customHeight="1" x14ac:dyDescent="0.25">
      <c r="A143" s="45"/>
      <c r="B143" s="107" t="s">
        <v>16</v>
      </c>
      <c r="C143" s="108">
        <f>IF(D133="Yes",1,0)</f>
        <v>0</v>
      </c>
      <c r="D143" s="46"/>
      <c r="E143" s="45"/>
      <c r="F143" s="45"/>
      <c r="G143" s="45"/>
      <c r="H143" s="45"/>
      <c r="I143" s="45"/>
      <c r="J143" s="45"/>
      <c r="K143" s="45"/>
      <c r="L143" s="45"/>
      <c r="M143" s="45"/>
    </row>
    <row r="144" spans="1:14" ht="18" customHeight="1" x14ac:dyDescent="0.25">
      <c r="A144" s="45"/>
      <c r="B144" s="109" t="s">
        <v>133</v>
      </c>
      <c r="C144" s="108" t="str">
        <f>IF(AND(COUNTIF(N138:N139,"Yes")=2,C143&gt;0),"Yes","No")</f>
        <v>No</v>
      </c>
      <c r="D144" s="46"/>
      <c r="E144" s="46"/>
      <c r="F144" s="45"/>
      <c r="G144" s="45"/>
      <c r="H144" s="45"/>
      <c r="I144" s="45"/>
      <c r="J144" s="45"/>
      <c r="K144" s="45"/>
      <c r="L144" s="45"/>
      <c r="M144" s="45"/>
    </row>
    <row r="145" spans="1:13" ht="19.5" customHeight="1" x14ac:dyDescent="0.25">
      <c r="A145" s="46"/>
      <c r="B145" s="46"/>
      <c r="C145" s="46"/>
      <c r="D145" s="46"/>
      <c r="E145" s="45"/>
      <c r="F145" s="45"/>
      <c r="G145" s="45"/>
      <c r="H145" s="45"/>
      <c r="I145" s="45"/>
      <c r="J145" s="45"/>
      <c r="K145" s="45"/>
      <c r="L145" s="45"/>
      <c r="M145" s="45"/>
    </row>
    <row r="146" spans="1:13" ht="21" customHeight="1" x14ac:dyDescent="0.25">
      <c r="A146" s="2107" t="s">
        <v>2382</v>
      </c>
      <c r="B146" s="2107"/>
      <c r="C146" s="2107"/>
      <c r="D146" s="2107"/>
      <c r="E146" s="2107"/>
      <c r="F146" s="2107"/>
      <c r="G146" s="2107"/>
      <c r="H146" s="2107"/>
      <c r="I146" s="2107"/>
      <c r="J146" s="2107"/>
      <c r="K146" s="2107"/>
      <c r="L146" s="2107"/>
      <c r="M146" s="2107"/>
    </row>
    <row r="147" spans="1:13" x14ac:dyDescent="0.25">
      <c r="A147" s="45"/>
      <c r="B147" s="46"/>
      <c r="C147" s="46"/>
      <c r="D147" s="46"/>
      <c r="E147" s="45"/>
      <c r="F147" s="45"/>
      <c r="G147" s="45"/>
      <c r="H147" s="45"/>
      <c r="I147" s="45"/>
      <c r="J147" s="45"/>
      <c r="K147" s="45"/>
      <c r="L147" s="45"/>
      <c r="M147" s="45"/>
    </row>
    <row r="148" spans="1:13" ht="16.5" customHeight="1" x14ac:dyDescent="0.25">
      <c r="A148" s="2117" t="s">
        <v>102</v>
      </c>
      <c r="B148" s="2117"/>
      <c r="C148" s="2117"/>
      <c r="D148" s="46"/>
      <c r="E148" s="45"/>
      <c r="F148" s="45"/>
      <c r="G148" s="45"/>
      <c r="H148" s="45"/>
      <c r="I148" s="45"/>
      <c r="J148" s="45"/>
      <c r="K148" s="45"/>
      <c r="L148" s="45"/>
      <c r="M148" s="45"/>
    </row>
    <row r="149" spans="1:13" ht="12" customHeight="1" x14ac:dyDescent="0.25">
      <c r="A149" s="45"/>
      <c r="B149" s="46"/>
      <c r="C149" s="46"/>
      <c r="D149" s="46"/>
      <c r="E149" s="46"/>
      <c r="F149" s="45"/>
      <c r="G149" s="45"/>
      <c r="H149" s="45"/>
      <c r="I149" s="45"/>
      <c r="J149" s="45"/>
      <c r="K149" s="45"/>
      <c r="L149" s="45"/>
      <c r="M149" s="45"/>
    </row>
    <row r="150" spans="1:13" x14ac:dyDescent="0.25">
      <c r="A150" s="45"/>
      <c r="B150" s="565" t="s">
        <v>2387</v>
      </c>
      <c r="C150" s="46"/>
      <c r="D150" s="46"/>
      <c r="E150" s="46"/>
      <c r="F150" s="45"/>
      <c r="G150" s="45"/>
      <c r="H150" s="45"/>
      <c r="I150" s="45"/>
      <c r="J150" s="45"/>
      <c r="K150" s="45"/>
      <c r="L150" s="45"/>
      <c r="M150" s="45"/>
    </row>
    <row r="151" spans="1:13" ht="12" customHeight="1" x14ac:dyDescent="0.25">
      <c r="A151" s="45"/>
      <c r="B151" s="112"/>
      <c r="C151" s="46"/>
      <c r="D151" s="46"/>
      <c r="E151" s="46"/>
      <c r="F151" s="45"/>
      <c r="G151" s="45"/>
      <c r="H151" s="45"/>
      <c r="I151" s="45"/>
      <c r="J151" s="45"/>
      <c r="K151" s="45"/>
      <c r="L151" s="45"/>
      <c r="M151" s="45"/>
    </row>
    <row r="152" spans="1:13" ht="9" customHeight="1" x14ac:dyDescent="0.25">
      <c r="A152" s="45"/>
      <c r="B152" s="112"/>
      <c r="C152" s="46"/>
      <c r="D152" s="46"/>
      <c r="E152" s="46"/>
      <c r="F152" s="45"/>
      <c r="G152" s="45"/>
      <c r="H152" s="45"/>
      <c r="I152" s="45"/>
      <c r="J152" s="45"/>
      <c r="K152" s="45"/>
      <c r="L152" s="45"/>
      <c r="M152" s="45"/>
    </row>
    <row r="153" spans="1:13" ht="14.25" customHeight="1" x14ac:dyDescent="0.25">
      <c r="A153" s="45"/>
      <c r="B153" s="500" t="s">
        <v>2388</v>
      </c>
      <c r="C153" s="46"/>
      <c r="D153" s="46"/>
      <c r="E153" s="46"/>
      <c r="F153" s="45"/>
      <c r="G153" s="45"/>
      <c r="H153" s="45"/>
      <c r="I153" s="45"/>
      <c r="J153" s="45"/>
      <c r="K153" s="45"/>
      <c r="L153" s="45"/>
      <c r="M153" s="45"/>
    </row>
    <row r="154" spans="1:13" ht="14.25" customHeight="1" x14ac:dyDescent="0.25">
      <c r="A154" s="45"/>
      <c r="B154" s="112"/>
      <c r="C154" s="46"/>
      <c r="D154" s="46"/>
      <c r="E154" s="46"/>
      <c r="F154" s="45"/>
      <c r="G154" s="45"/>
      <c r="H154" s="45"/>
      <c r="I154" s="45"/>
      <c r="J154" s="45"/>
      <c r="K154" s="45"/>
      <c r="L154" s="45"/>
      <c r="M154" s="45"/>
    </row>
    <row r="155" spans="1:13" ht="26.25" customHeight="1" x14ac:dyDescent="0.25">
      <c r="A155" s="45"/>
      <c r="B155" s="2252" t="s">
        <v>2399</v>
      </c>
      <c r="C155" s="2253"/>
      <c r="D155" s="2253"/>
      <c r="E155" s="2253"/>
      <c r="F155" s="2253"/>
      <c r="G155" s="2253"/>
      <c r="H155" s="2253"/>
      <c r="I155" s="2253"/>
      <c r="J155" s="2254"/>
      <c r="K155" s="45"/>
      <c r="L155" s="45"/>
      <c r="M155" s="45"/>
    </row>
    <row r="156" spans="1:13" x14ac:dyDescent="0.25">
      <c r="A156" s="45"/>
      <c r="B156" s="1245" t="s">
        <v>2389</v>
      </c>
      <c r="C156" s="1240"/>
      <c r="D156" s="1240"/>
      <c r="E156" s="1240"/>
      <c r="F156" s="1240"/>
      <c r="G156" s="1240"/>
      <c r="H156" s="1240"/>
      <c r="I156" s="1240"/>
      <c r="J156" s="1241"/>
      <c r="K156" s="45"/>
      <c r="L156" s="45"/>
      <c r="M156" s="45"/>
    </row>
    <row r="157" spans="1:13" ht="27" customHeight="1" x14ac:dyDescent="0.25">
      <c r="A157" s="45"/>
      <c r="B157" s="1685" t="s">
        <v>2390</v>
      </c>
      <c r="C157" s="1686"/>
      <c r="D157" s="1686"/>
      <c r="E157" s="1686"/>
      <c r="F157" s="1686"/>
      <c r="G157" s="1686"/>
      <c r="H157" s="1686"/>
      <c r="I157" s="1686"/>
      <c r="J157" s="1687"/>
      <c r="K157" s="117"/>
      <c r="L157" s="117"/>
      <c r="M157" s="117"/>
    </row>
    <row r="158" spans="1:13" x14ac:dyDescent="0.25">
      <c r="A158" s="45"/>
      <c r="B158" s="1247" t="s">
        <v>2391</v>
      </c>
      <c r="C158" s="516"/>
      <c r="D158" s="516"/>
      <c r="E158" s="516"/>
      <c r="F158" s="516"/>
      <c r="G158" s="516"/>
      <c r="H158" s="516"/>
      <c r="I158" s="516"/>
      <c r="J158" s="517"/>
      <c r="K158" s="508"/>
      <c r="L158" s="508"/>
      <c r="M158" s="508"/>
    </row>
    <row r="159" spans="1:13" x14ac:dyDescent="0.25">
      <c r="A159" s="45"/>
      <c r="B159" s="1246" t="s">
        <v>2392</v>
      </c>
      <c r="C159" s="523"/>
      <c r="D159" s="523"/>
      <c r="E159" s="523"/>
      <c r="F159" s="523"/>
      <c r="G159" s="523"/>
      <c r="H159" s="523"/>
      <c r="I159" s="523"/>
      <c r="J159" s="524"/>
      <c r="K159" s="508"/>
      <c r="L159" s="508"/>
      <c r="M159" s="508"/>
    </row>
    <row r="160" spans="1:13" x14ac:dyDescent="0.25">
      <c r="A160" s="45"/>
      <c r="B160" s="508"/>
      <c r="C160" s="508"/>
      <c r="D160" s="508"/>
      <c r="E160" s="508"/>
      <c r="F160" s="508"/>
      <c r="G160" s="508"/>
      <c r="H160" s="508"/>
      <c r="I160" s="508"/>
      <c r="J160" s="508"/>
      <c r="K160" s="508"/>
      <c r="L160" s="508"/>
      <c r="M160" s="508"/>
    </row>
    <row r="161" spans="1:14" ht="15" customHeight="1" x14ac:dyDescent="0.25">
      <c r="A161" s="45"/>
      <c r="B161" s="2251" t="s">
        <v>2395</v>
      </c>
      <c r="C161" s="2251"/>
      <c r="D161" s="2251"/>
      <c r="E161" s="2251"/>
      <c r="F161" s="2251"/>
      <c r="G161" s="2251"/>
      <c r="H161" s="2251"/>
      <c r="I161" s="2251"/>
      <c r="J161" s="508"/>
      <c r="K161" s="508"/>
      <c r="L161" s="508"/>
      <c r="M161" s="508"/>
    </row>
    <row r="162" spans="1:14" x14ac:dyDescent="0.25">
      <c r="A162" s="45"/>
      <c r="B162" s="508"/>
      <c r="C162" s="508"/>
      <c r="D162" s="508"/>
      <c r="E162" s="508"/>
      <c r="F162" s="508"/>
      <c r="G162" s="508"/>
      <c r="H162" s="508"/>
      <c r="I162" s="508"/>
      <c r="J162" s="508"/>
      <c r="K162" s="508"/>
      <c r="L162" s="508"/>
      <c r="M162" s="508"/>
    </row>
    <row r="163" spans="1:14" ht="18" customHeight="1" x14ac:dyDescent="0.25">
      <c r="A163" s="45"/>
      <c r="B163" s="2177" t="s">
        <v>2396</v>
      </c>
      <c r="C163" s="2177"/>
      <c r="D163" s="2250" t="s">
        <v>53</v>
      </c>
      <c r="E163" s="2250"/>
      <c r="F163" s="508"/>
      <c r="G163" s="508"/>
      <c r="H163" s="508"/>
      <c r="I163" s="508"/>
      <c r="J163" s="508"/>
      <c r="K163" s="508"/>
      <c r="L163" s="508"/>
      <c r="M163" s="508"/>
    </row>
    <row r="164" spans="1:14" ht="12" customHeight="1" x14ac:dyDescent="0.25">
      <c r="A164" s="45"/>
      <c r="B164" s="508"/>
      <c r="C164" s="508"/>
      <c r="D164" s="508"/>
      <c r="E164" s="508"/>
      <c r="F164" s="1282"/>
      <c r="G164" s="508"/>
      <c r="H164" s="508"/>
      <c r="I164" s="508"/>
      <c r="J164" s="508"/>
      <c r="K164" s="508"/>
      <c r="L164" s="508"/>
      <c r="M164" s="508"/>
    </row>
    <row r="165" spans="1:14" ht="40.5" customHeight="1" x14ac:dyDescent="0.25">
      <c r="A165" s="45"/>
      <c r="B165" s="1280" t="s">
        <v>2393</v>
      </c>
      <c r="C165" s="1279" t="s">
        <v>2394</v>
      </c>
      <c r="D165" s="1279" t="s">
        <v>2397</v>
      </c>
      <c r="E165" s="1279" t="s">
        <v>2398</v>
      </c>
      <c r="F165" s="1281" t="str">
        <f>IF(D163="Select","Please select project location",CONCATENATE("Is the air filter more efficient than ",IF(D163="Hanoi","MERV 16, F9 or E10?",IF(D163="Ho Chi Minh City","MERV 14 or F8?",IF(D163="other","MERV 6 or G3?","MERV 12 or F6?")))))</f>
        <v>Please select project location</v>
      </c>
      <c r="G165" s="1283"/>
      <c r="H165" s="508"/>
      <c r="I165" s="508"/>
      <c r="J165" s="45"/>
      <c r="K165" s="45"/>
      <c r="L165" s="45"/>
      <c r="M165" s="45"/>
    </row>
    <row r="166" spans="1:14" ht="15" customHeight="1" x14ac:dyDescent="0.25">
      <c r="A166" s="45"/>
      <c r="B166" s="1230"/>
      <c r="C166" s="1230"/>
      <c r="D166" s="1014"/>
      <c r="E166" s="1014"/>
      <c r="F166" s="1014" t="s">
        <v>53</v>
      </c>
      <c r="G166" s="508"/>
      <c r="H166" s="508"/>
      <c r="I166" s="508"/>
      <c r="J166" s="45"/>
      <c r="K166" s="45"/>
      <c r="L166" s="45"/>
      <c r="M166" s="45"/>
      <c r="N166" s="543" t="str">
        <f>IF(AND(C166&lt;&gt;"",E166&lt;&gt;"",F166="Yes"),"Yes",IF(OR(F166="No",AND(F166="Yes",E166=""),AND(F166="Select",OR(C166&lt;&gt;"",D166&lt;&gt;"",B166&lt;&gt;"",E166&lt;&gt;""))),"No",""))</f>
        <v/>
      </c>
    </row>
    <row r="167" spans="1:14" ht="15" customHeight="1" x14ac:dyDescent="0.25">
      <c r="A167" s="45"/>
      <c r="B167" s="1230"/>
      <c r="C167" s="1230"/>
      <c r="D167" s="1014"/>
      <c r="E167" s="1014"/>
      <c r="F167" s="1014" t="s">
        <v>53</v>
      </c>
      <c r="G167" s="508"/>
      <c r="H167" s="508"/>
      <c r="I167" s="508"/>
      <c r="J167" s="45"/>
      <c r="K167" s="45"/>
      <c r="L167" s="45"/>
      <c r="M167" s="45"/>
      <c r="N167" s="543" t="str">
        <f t="shared" ref="N167:N175" si="2">IF(AND(C167&lt;&gt;"",E167&lt;&gt;"",F167="Yes"),"Yes",IF(OR(F167="No",AND(F167="Yes",E167=""),AND(F167="Select",OR(C167&lt;&gt;"",D167&lt;&gt;"",B167&lt;&gt;"",E167&lt;&gt;""))),"No",""))</f>
        <v/>
      </c>
    </row>
    <row r="168" spans="1:14" ht="15" customHeight="1" x14ac:dyDescent="0.25">
      <c r="A168" s="45"/>
      <c r="B168" s="1230"/>
      <c r="C168" s="1230"/>
      <c r="D168" s="1014"/>
      <c r="E168" s="1014"/>
      <c r="F168" s="1014" t="s">
        <v>53</v>
      </c>
      <c r="G168" s="508"/>
      <c r="H168" s="508"/>
      <c r="I168" s="508"/>
      <c r="J168" s="45"/>
      <c r="K168" s="45"/>
      <c r="L168" s="45"/>
      <c r="M168" s="45"/>
      <c r="N168" s="543" t="str">
        <f t="shared" si="2"/>
        <v/>
      </c>
    </row>
    <row r="169" spans="1:14" ht="15" customHeight="1" x14ac:dyDescent="0.25">
      <c r="A169" s="45"/>
      <c r="B169" s="1230"/>
      <c r="C169" s="1230"/>
      <c r="D169" s="1014"/>
      <c r="E169" s="1014"/>
      <c r="F169" s="1014" t="s">
        <v>53</v>
      </c>
      <c r="G169" s="508"/>
      <c r="H169" s="508"/>
      <c r="I169" s="508"/>
      <c r="J169" s="45"/>
      <c r="K169" s="45"/>
      <c r="L169" s="45"/>
      <c r="M169" s="45"/>
      <c r="N169" s="543" t="str">
        <f t="shared" si="2"/>
        <v/>
      </c>
    </row>
    <row r="170" spans="1:14" ht="15" customHeight="1" x14ac:dyDescent="0.25">
      <c r="A170" s="45"/>
      <c r="B170" s="1230"/>
      <c r="C170" s="1230"/>
      <c r="D170" s="1014"/>
      <c r="E170" s="1014"/>
      <c r="F170" s="1014" t="s">
        <v>53</v>
      </c>
      <c r="G170" s="508"/>
      <c r="H170" s="508"/>
      <c r="I170" s="508"/>
      <c r="J170" s="45"/>
      <c r="K170" s="45"/>
      <c r="L170" s="45"/>
      <c r="M170" s="45"/>
      <c r="N170" s="543" t="str">
        <f t="shared" si="2"/>
        <v/>
      </c>
    </row>
    <row r="171" spans="1:14" ht="15" customHeight="1" x14ac:dyDescent="0.25">
      <c r="A171" s="45"/>
      <c r="B171" s="1230"/>
      <c r="C171" s="1230"/>
      <c r="D171" s="1014"/>
      <c r="E171" s="1014"/>
      <c r="F171" s="1014" t="s">
        <v>53</v>
      </c>
      <c r="G171" s="508"/>
      <c r="H171" s="508"/>
      <c r="I171" s="508"/>
      <c r="J171" s="45"/>
      <c r="K171" s="45"/>
      <c r="L171" s="45"/>
      <c r="M171" s="45"/>
      <c r="N171" s="543" t="str">
        <f t="shared" si="2"/>
        <v/>
      </c>
    </row>
    <row r="172" spans="1:14" ht="15" customHeight="1" x14ac:dyDescent="0.25">
      <c r="A172" s="45"/>
      <c r="B172" s="1230"/>
      <c r="C172" s="1230"/>
      <c r="D172" s="1014"/>
      <c r="E172" s="1014"/>
      <c r="F172" s="1014" t="s">
        <v>53</v>
      </c>
      <c r="G172" s="508"/>
      <c r="H172" s="508"/>
      <c r="I172" s="508"/>
      <c r="J172" s="45"/>
      <c r="K172" s="45"/>
      <c r="L172" s="45"/>
      <c r="M172" s="45"/>
      <c r="N172" s="543" t="str">
        <f t="shared" si="2"/>
        <v/>
      </c>
    </row>
    <row r="173" spans="1:14" ht="15" customHeight="1" x14ac:dyDescent="0.25">
      <c r="A173" s="45"/>
      <c r="B173" s="1230"/>
      <c r="C173" s="1230"/>
      <c r="D173" s="1014"/>
      <c r="E173" s="1014"/>
      <c r="F173" s="1014" t="s">
        <v>53</v>
      </c>
      <c r="G173" s="508"/>
      <c r="H173" s="508"/>
      <c r="I173" s="508"/>
      <c r="J173" s="45"/>
      <c r="K173" s="45"/>
      <c r="L173" s="45"/>
      <c r="M173" s="45"/>
      <c r="N173" s="543" t="str">
        <f t="shared" si="2"/>
        <v/>
      </c>
    </row>
    <row r="174" spans="1:14" ht="15" customHeight="1" x14ac:dyDescent="0.25">
      <c r="A174" s="45"/>
      <c r="B174" s="1230"/>
      <c r="C174" s="1230"/>
      <c r="D174" s="1014"/>
      <c r="E174" s="1014"/>
      <c r="F174" s="1014" t="s">
        <v>53</v>
      </c>
      <c r="G174" s="508"/>
      <c r="H174" s="508"/>
      <c r="I174" s="508"/>
      <c r="J174" s="45"/>
      <c r="K174" s="45"/>
      <c r="L174" s="45"/>
      <c r="M174" s="45"/>
      <c r="N174" s="543" t="str">
        <f t="shared" si="2"/>
        <v/>
      </c>
    </row>
    <row r="175" spans="1:14" ht="15" customHeight="1" x14ac:dyDescent="0.25">
      <c r="A175" s="45"/>
      <c r="B175" s="1230"/>
      <c r="C175" s="1230"/>
      <c r="D175" s="1014"/>
      <c r="E175" s="1014"/>
      <c r="F175" s="1014" t="s">
        <v>53</v>
      </c>
      <c r="G175" s="508"/>
      <c r="H175" s="508"/>
      <c r="I175" s="508"/>
      <c r="J175" s="45"/>
      <c r="K175" s="45"/>
      <c r="L175" s="45"/>
      <c r="M175" s="45"/>
      <c r="N175" s="543" t="str">
        <f t="shared" si="2"/>
        <v/>
      </c>
    </row>
    <row r="176" spans="1:14" ht="18" customHeight="1" x14ac:dyDescent="0.25">
      <c r="A176" s="45"/>
      <c r="B176" s="270"/>
      <c r="C176" s="1248"/>
      <c r="D176" s="1248"/>
      <c r="E176" s="1248"/>
      <c r="F176" s="1248"/>
      <c r="G176" s="1248"/>
      <c r="H176" s="1248"/>
      <c r="I176" s="1248"/>
      <c r="J176" s="1248"/>
      <c r="K176" s="45"/>
      <c r="L176" s="45"/>
      <c r="M176" s="45"/>
    </row>
    <row r="177" spans="1:14" ht="18" customHeight="1" x14ac:dyDescent="0.25">
      <c r="A177" s="45"/>
      <c r="B177" s="2108" t="s">
        <v>2400</v>
      </c>
      <c r="C177" s="2108"/>
      <c r="D177" s="66" t="str">
        <f>IF(AND(COUNTIF(N166:N175,"No")=0,COUNTIF(N166:N175,"Yes")&gt;=1),"Yes","No")</f>
        <v>No</v>
      </c>
      <c r="E177" s="45"/>
      <c r="F177" s="45"/>
      <c r="G177" s="45"/>
      <c r="H177" s="45"/>
      <c r="I177" s="45"/>
      <c r="J177" s="45"/>
      <c r="K177" s="45"/>
      <c r="L177" s="45"/>
      <c r="M177" s="45"/>
    </row>
    <row r="178" spans="1:14" ht="19.5" customHeight="1" x14ac:dyDescent="0.25">
      <c r="A178" s="45"/>
      <c r="B178" s="46"/>
      <c r="C178" s="46"/>
      <c r="D178" s="46"/>
      <c r="E178" s="45"/>
      <c r="F178" s="45"/>
      <c r="G178" s="45"/>
      <c r="H178" s="45"/>
      <c r="I178" s="45"/>
      <c r="J178" s="45"/>
      <c r="K178" s="45"/>
      <c r="L178" s="45"/>
      <c r="M178" s="45"/>
    </row>
    <row r="179" spans="1:14" ht="18" customHeight="1" x14ac:dyDescent="0.25">
      <c r="A179" s="2117" t="s">
        <v>84</v>
      </c>
      <c r="B179" s="2117"/>
      <c r="C179" s="2117"/>
      <c r="D179" s="46"/>
      <c r="E179" s="45"/>
      <c r="F179" s="45"/>
      <c r="G179" s="45"/>
      <c r="H179" s="45"/>
      <c r="I179" s="45"/>
      <c r="J179" s="45"/>
      <c r="K179" s="45"/>
      <c r="L179" s="45"/>
      <c r="M179" s="45"/>
    </row>
    <row r="180" spans="1:14" x14ac:dyDescent="0.25">
      <c r="A180" s="45"/>
      <c r="B180" s="46"/>
      <c r="C180" s="46"/>
      <c r="D180" s="46"/>
      <c r="E180" s="45"/>
      <c r="F180" s="45"/>
      <c r="G180" s="45"/>
      <c r="H180" s="45"/>
      <c r="I180" s="45"/>
      <c r="J180" s="45"/>
      <c r="K180" s="45"/>
      <c r="L180" s="45"/>
      <c r="M180" s="45"/>
    </row>
    <row r="181" spans="1:14" ht="21" customHeight="1" x14ac:dyDescent="0.25">
      <c r="A181" s="45"/>
      <c r="B181" s="2104" t="s">
        <v>85</v>
      </c>
      <c r="C181" s="2105"/>
      <c r="D181" s="2105"/>
      <c r="E181" s="2105"/>
      <c r="F181" s="2105"/>
      <c r="G181" s="1244" t="s">
        <v>907</v>
      </c>
      <c r="H181" s="2106" t="s">
        <v>908</v>
      </c>
      <c r="I181" s="2106"/>
      <c r="J181" s="45"/>
      <c r="K181" s="45"/>
      <c r="L181" s="45"/>
      <c r="M181" s="45"/>
    </row>
    <row r="182" spans="1:14" ht="30" customHeight="1" x14ac:dyDescent="0.25">
      <c r="A182" s="45"/>
      <c r="B182" s="1648" t="str">
        <f>Submittals!G106</f>
        <v>• Manufacturer's published data showing the air filtration level of the supply air filters installed</v>
      </c>
      <c r="C182" s="1649"/>
      <c r="D182" s="1649"/>
      <c r="E182" s="1649"/>
      <c r="F182" s="1649"/>
      <c r="G182" s="1230" t="s">
        <v>53</v>
      </c>
      <c r="H182" s="1689"/>
      <c r="I182" s="1690"/>
      <c r="J182" s="45"/>
      <c r="K182" s="45"/>
      <c r="L182" s="45"/>
      <c r="M182" s="45"/>
      <c r="N182" s="35" t="str">
        <f>IF(OR(B182="/",B182="No evidence required at this submission stage"),"Yes",IF(G182="Submitted","Yes","No"))</f>
        <v>No</v>
      </c>
    </row>
    <row r="183" spans="1:14" ht="30" customHeight="1" x14ac:dyDescent="0.25">
      <c r="A183" s="45"/>
      <c r="B183" s="1648" t="str">
        <f>Submittals!G107</f>
        <v>• Evidence of the supply air filters installed, such as photographs, invoices, receipts, commissioning report, etc.</v>
      </c>
      <c r="C183" s="1649"/>
      <c r="D183" s="1649"/>
      <c r="E183" s="1649"/>
      <c r="F183" s="1649"/>
      <c r="G183" s="1230" t="s">
        <v>53</v>
      </c>
      <c r="H183" s="1689"/>
      <c r="I183" s="1690"/>
      <c r="J183" s="45"/>
      <c r="K183" s="45"/>
      <c r="L183" s="45"/>
      <c r="M183" s="45"/>
      <c r="N183" s="35" t="str">
        <f>IF(OR(B183="/",B183="No evidence required at this submission stage"),"Yes",IF(G183="Submitted","Yes","No"))</f>
        <v>No</v>
      </c>
    </row>
    <row r="184" spans="1:14" ht="19.5" customHeight="1" x14ac:dyDescent="0.25">
      <c r="A184" s="45"/>
      <c r="B184" s="46"/>
      <c r="C184" s="46"/>
      <c r="D184" s="46"/>
      <c r="E184" s="45"/>
      <c r="F184" s="45"/>
      <c r="G184" s="45"/>
      <c r="H184" s="45"/>
      <c r="I184" s="45"/>
      <c r="J184" s="45"/>
      <c r="K184" s="45"/>
      <c r="L184" s="45"/>
      <c r="M184" s="45"/>
    </row>
    <row r="185" spans="1:14" ht="18" customHeight="1" x14ac:dyDescent="0.25">
      <c r="A185" s="2117" t="s">
        <v>5</v>
      </c>
      <c r="B185" s="2117"/>
      <c r="C185" s="2117"/>
      <c r="D185" s="46"/>
      <c r="E185" s="45"/>
      <c r="F185" s="45"/>
      <c r="G185" s="45"/>
      <c r="H185" s="45"/>
      <c r="I185" s="45"/>
      <c r="J185" s="45"/>
      <c r="K185" s="45"/>
      <c r="L185" s="45"/>
      <c r="M185" s="45"/>
    </row>
    <row r="186" spans="1:14" x14ac:dyDescent="0.25">
      <c r="A186" s="45"/>
      <c r="B186" s="46"/>
      <c r="C186" s="46"/>
      <c r="D186" s="46"/>
      <c r="E186" s="46"/>
      <c r="F186" s="45"/>
      <c r="G186" s="45"/>
      <c r="H186" s="45"/>
      <c r="I186" s="45"/>
      <c r="J186" s="45"/>
      <c r="K186" s="45"/>
      <c r="L186" s="45"/>
      <c r="M186" s="45"/>
    </row>
    <row r="187" spans="1:14" ht="18" customHeight="1" x14ac:dyDescent="0.25">
      <c r="A187" s="45"/>
      <c r="B187" s="107" t="s">
        <v>16</v>
      </c>
      <c r="C187" s="108">
        <f>IF(D177="Yes",1,0)</f>
        <v>0</v>
      </c>
      <c r="D187" s="46"/>
      <c r="E187" s="45"/>
      <c r="F187" s="45"/>
      <c r="G187" s="45"/>
      <c r="H187" s="45"/>
      <c r="I187" s="45"/>
      <c r="J187" s="45"/>
      <c r="K187" s="45"/>
      <c r="L187" s="45"/>
      <c r="M187" s="45"/>
    </row>
    <row r="188" spans="1:14" ht="18" customHeight="1" x14ac:dyDescent="0.25">
      <c r="A188" s="45"/>
      <c r="B188" s="109" t="s">
        <v>133</v>
      </c>
      <c r="C188" s="108" t="str">
        <f>IF(AND(COUNTIF(N182:N183,"Yes")=2,C187&gt;0),"Yes","No")</f>
        <v>No</v>
      </c>
      <c r="D188" s="46"/>
      <c r="E188" s="46"/>
      <c r="F188" s="45"/>
      <c r="G188" s="45"/>
      <c r="H188" s="45"/>
      <c r="I188" s="45"/>
      <c r="J188" s="45"/>
      <c r="K188" s="45"/>
      <c r="L188" s="45"/>
      <c r="M188" s="45"/>
    </row>
    <row r="189" spans="1:14" ht="19.5" customHeight="1" x14ac:dyDescent="0.25">
      <c r="A189" s="46"/>
      <c r="B189" s="46"/>
      <c r="C189" s="46"/>
      <c r="D189" s="46"/>
      <c r="E189" s="45"/>
      <c r="F189" s="45"/>
      <c r="G189" s="45"/>
      <c r="H189" s="45"/>
      <c r="I189" s="45"/>
      <c r="J189" s="45"/>
      <c r="K189" s="45"/>
      <c r="L189" s="45"/>
      <c r="M189" s="45"/>
    </row>
    <row r="190" spans="1:14" ht="18" customHeight="1" x14ac:dyDescent="0.25">
      <c r="A190" s="2107" t="s">
        <v>2377</v>
      </c>
      <c r="B190" s="2107"/>
      <c r="C190" s="2107"/>
      <c r="D190" s="2107"/>
      <c r="E190" s="2107"/>
      <c r="F190" s="2107"/>
      <c r="G190" s="2107"/>
      <c r="H190" s="2107"/>
      <c r="I190" s="2107"/>
      <c r="J190" s="2107"/>
      <c r="K190" s="2107"/>
      <c r="L190" s="2107"/>
      <c r="M190" s="2107"/>
    </row>
    <row r="191" spans="1:14" x14ac:dyDescent="0.25">
      <c r="A191" s="45"/>
      <c r="B191" s="46"/>
      <c r="C191" s="46"/>
      <c r="D191" s="46"/>
      <c r="E191" s="45"/>
      <c r="F191" s="45"/>
      <c r="G191" s="45"/>
      <c r="H191" s="45"/>
      <c r="I191" s="45"/>
      <c r="J191" s="45"/>
      <c r="K191" s="45"/>
      <c r="L191" s="45"/>
      <c r="M191" s="45"/>
    </row>
    <row r="192" spans="1:14" ht="16.5" customHeight="1" x14ac:dyDescent="0.25">
      <c r="A192" s="2117" t="s">
        <v>102</v>
      </c>
      <c r="B192" s="2117"/>
      <c r="C192" s="2117"/>
      <c r="D192" s="46"/>
      <c r="E192" s="45"/>
      <c r="F192" s="45"/>
      <c r="G192" s="45"/>
      <c r="H192" s="45"/>
      <c r="I192" s="45"/>
      <c r="J192" s="45"/>
      <c r="K192" s="45"/>
      <c r="L192" s="45"/>
      <c r="M192" s="45"/>
    </row>
    <row r="193" spans="1:20" x14ac:dyDescent="0.25">
      <c r="A193" s="46"/>
      <c r="B193" s="46"/>
      <c r="C193" s="46"/>
      <c r="D193" s="46"/>
      <c r="E193" s="45"/>
      <c r="F193" s="45"/>
      <c r="G193" s="45"/>
      <c r="H193" s="45"/>
      <c r="I193" s="45"/>
      <c r="J193" s="45"/>
      <c r="K193" s="45"/>
      <c r="L193" s="45"/>
      <c r="M193" s="45"/>
    </row>
    <row r="194" spans="1:20" x14ac:dyDescent="0.25">
      <c r="A194" s="45"/>
      <c r="B194" s="984" t="s">
        <v>2020</v>
      </c>
      <c r="C194" s="46"/>
      <c r="D194" s="46"/>
      <c r="E194" s="45"/>
      <c r="F194" s="45"/>
      <c r="G194" s="45"/>
      <c r="H194" s="45"/>
      <c r="I194" s="45"/>
      <c r="J194" s="45"/>
      <c r="K194" s="45"/>
      <c r="L194" s="45"/>
      <c r="M194" s="45"/>
    </row>
    <row r="195" spans="1:20" ht="17.25" customHeight="1" x14ac:dyDescent="0.25">
      <c r="A195" s="45"/>
      <c r="B195" s="46"/>
      <c r="C195" s="46"/>
      <c r="D195" s="46"/>
      <c r="E195" s="45"/>
      <c r="F195" s="45"/>
      <c r="G195" s="45"/>
      <c r="H195" s="45"/>
      <c r="I195" s="45"/>
      <c r="J195" s="45"/>
      <c r="K195" s="45"/>
      <c r="L195" s="45"/>
      <c r="M195" s="45"/>
    </row>
    <row r="196" spans="1:20" x14ac:dyDescent="0.25">
      <c r="A196" s="45"/>
      <c r="B196" s="544" t="s">
        <v>1650</v>
      </c>
      <c r="C196" s="46"/>
      <c r="D196" s="46"/>
      <c r="E196" s="45"/>
      <c r="F196" s="45"/>
      <c r="G196" s="45"/>
      <c r="H196" s="45"/>
      <c r="I196" s="45"/>
      <c r="J196" s="45"/>
      <c r="K196" s="45"/>
      <c r="L196" s="45"/>
      <c r="M196" s="45"/>
    </row>
    <row r="197" spans="1:20" ht="10.5" customHeight="1" x14ac:dyDescent="0.25">
      <c r="A197" s="45"/>
      <c r="B197" s="46"/>
      <c r="C197" s="46"/>
      <c r="D197" s="46"/>
      <c r="E197" s="45"/>
      <c r="F197" s="45"/>
      <c r="G197" s="45"/>
      <c r="H197" s="45"/>
      <c r="I197" s="45"/>
      <c r="J197" s="45"/>
      <c r="K197" s="45"/>
      <c r="L197" s="45"/>
      <c r="M197" s="45"/>
    </row>
    <row r="198" spans="1:20" ht="9" customHeight="1" x14ac:dyDescent="0.25">
      <c r="A198" s="45"/>
      <c r="B198" s="46"/>
      <c r="C198" s="46"/>
      <c r="D198" s="46"/>
      <c r="E198" s="45"/>
      <c r="F198" s="45"/>
      <c r="G198" s="45"/>
      <c r="H198" s="45"/>
      <c r="I198" s="45"/>
      <c r="J198" s="45"/>
      <c r="K198" s="45"/>
      <c r="L198" s="45"/>
      <c r="M198" s="45"/>
    </row>
    <row r="199" spans="1:20" ht="18" customHeight="1" x14ac:dyDescent="0.25">
      <c r="A199" s="45"/>
      <c r="B199" s="1020" t="s">
        <v>2019</v>
      </c>
      <c r="C199" s="1021"/>
      <c r="D199" s="1021"/>
      <c r="E199" s="1021"/>
      <c r="F199" s="45"/>
      <c r="G199" s="45"/>
      <c r="H199" s="45"/>
      <c r="I199" s="45"/>
      <c r="J199" s="45"/>
      <c r="K199" s="45"/>
      <c r="L199" s="45"/>
      <c r="M199" s="45"/>
    </row>
    <row r="200" spans="1:20" ht="27" customHeight="1" x14ac:dyDescent="0.25">
      <c r="A200" s="45"/>
      <c r="B200" s="2274" t="s">
        <v>1651</v>
      </c>
      <c r="C200" s="2274"/>
      <c r="D200" s="1022" t="s">
        <v>1652</v>
      </c>
      <c r="E200" s="2275" t="s">
        <v>1367</v>
      </c>
      <c r="F200" s="2275"/>
      <c r="G200" s="2276"/>
      <c r="H200" s="45"/>
      <c r="I200" s="45"/>
      <c r="J200" s="45"/>
      <c r="K200" s="45"/>
      <c r="L200" s="45"/>
      <c r="M200" s="45"/>
      <c r="N200" s="45"/>
    </row>
    <row r="201" spans="1:20" ht="15" customHeight="1" x14ac:dyDescent="0.25">
      <c r="A201" s="45"/>
      <c r="B201" s="2268" t="s">
        <v>1653</v>
      </c>
      <c r="C201" s="2269"/>
      <c r="D201" s="1023">
        <v>20</v>
      </c>
      <c r="E201" s="2267" t="s">
        <v>1654</v>
      </c>
      <c r="F201" s="2267"/>
      <c r="G201" s="2267"/>
      <c r="H201" s="45"/>
      <c r="I201" s="45"/>
      <c r="J201" s="45"/>
      <c r="K201" s="45"/>
      <c r="L201" s="45"/>
      <c r="M201" s="45"/>
      <c r="N201" s="45"/>
      <c r="S201" s="1024" t="s">
        <v>1655</v>
      </c>
      <c r="T201" s="1023">
        <v>20</v>
      </c>
    </row>
    <row r="202" spans="1:20" ht="15" customHeight="1" x14ac:dyDescent="0.25">
      <c r="A202" s="45"/>
      <c r="B202" s="2270"/>
      <c r="C202" s="2271"/>
      <c r="D202" s="1023">
        <v>50</v>
      </c>
      <c r="E202" s="2267" t="s">
        <v>1656</v>
      </c>
      <c r="F202" s="2267"/>
      <c r="G202" s="2267"/>
      <c r="H202" s="45"/>
      <c r="I202" s="45"/>
      <c r="J202" s="45"/>
      <c r="K202" s="45"/>
      <c r="L202" s="45"/>
      <c r="M202" s="45"/>
      <c r="N202" s="45"/>
      <c r="S202" s="1024" t="s">
        <v>1657</v>
      </c>
      <c r="T202" s="1023">
        <v>50</v>
      </c>
    </row>
    <row r="203" spans="1:20" ht="15" customHeight="1" x14ac:dyDescent="0.25">
      <c r="A203" s="45"/>
      <c r="B203" s="2270"/>
      <c r="C203" s="2271"/>
      <c r="D203" s="1023">
        <v>70</v>
      </c>
      <c r="E203" s="2267" t="s">
        <v>1658</v>
      </c>
      <c r="F203" s="2267"/>
      <c r="G203" s="2267"/>
      <c r="H203" s="45"/>
      <c r="I203" s="45"/>
      <c r="J203" s="45"/>
      <c r="K203" s="45"/>
      <c r="L203" s="45"/>
      <c r="M203" s="45"/>
      <c r="N203" s="45"/>
      <c r="S203" s="1024" t="s">
        <v>1659</v>
      </c>
      <c r="T203" s="1023">
        <v>70</v>
      </c>
    </row>
    <row r="204" spans="1:20" ht="15" customHeight="1" x14ac:dyDescent="0.25">
      <c r="A204" s="45"/>
      <c r="B204" s="2270"/>
      <c r="C204" s="2271"/>
      <c r="D204" s="1023">
        <v>100</v>
      </c>
      <c r="E204" s="2267" t="s">
        <v>1660</v>
      </c>
      <c r="F204" s="2267"/>
      <c r="G204" s="2267"/>
      <c r="H204" s="45"/>
      <c r="I204" s="45"/>
      <c r="J204" s="45"/>
      <c r="K204" s="45"/>
      <c r="L204" s="45"/>
      <c r="M204" s="45"/>
      <c r="N204" s="45"/>
      <c r="S204" s="1024" t="s">
        <v>1661</v>
      </c>
      <c r="T204" s="1023">
        <v>100</v>
      </c>
    </row>
    <row r="205" spans="1:20" ht="15" customHeight="1" x14ac:dyDescent="0.25">
      <c r="A205" s="45"/>
      <c r="B205" s="2272"/>
      <c r="C205" s="2273"/>
      <c r="D205" s="1023">
        <v>150</v>
      </c>
      <c r="E205" s="2267" t="s">
        <v>1662</v>
      </c>
      <c r="F205" s="2267"/>
      <c r="G205" s="2267"/>
      <c r="H205" s="45"/>
      <c r="I205" s="45"/>
      <c r="J205" s="45"/>
      <c r="K205" s="45"/>
      <c r="L205" s="45"/>
      <c r="M205" s="45"/>
      <c r="N205" s="45"/>
      <c r="S205" s="1024" t="s">
        <v>1663</v>
      </c>
      <c r="T205" s="1023">
        <v>150</v>
      </c>
    </row>
    <row r="206" spans="1:20" ht="15" customHeight="1" x14ac:dyDescent="0.25">
      <c r="A206" s="45"/>
      <c r="B206" s="2268" t="s">
        <v>1664</v>
      </c>
      <c r="C206" s="2269"/>
      <c r="D206" s="1023">
        <v>200</v>
      </c>
      <c r="E206" s="2267" t="s">
        <v>1665</v>
      </c>
      <c r="F206" s="2267"/>
      <c r="G206" s="2267"/>
      <c r="H206" s="45"/>
      <c r="I206" s="45"/>
      <c r="J206" s="45"/>
      <c r="K206" s="45"/>
      <c r="L206" s="45"/>
      <c r="M206" s="45"/>
      <c r="N206" s="45"/>
      <c r="S206" s="1024" t="s">
        <v>1666</v>
      </c>
      <c r="T206" s="1023">
        <v>200</v>
      </c>
    </row>
    <row r="207" spans="1:20" ht="27" customHeight="1" x14ac:dyDescent="0.25">
      <c r="A207" s="45"/>
      <c r="B207" s="2270"/>
      <c r="C207" s="2271"/>
      <c r="D207" s="1023">
        <v>300</v>
      </c>
      <c r="E207" s="2267" t="s">
        <v>1667</v>
      </c>
      <c r="F207" s="2267"/>
      <c r="G207" s="2267"/>
      <c r="H207" s="45"/>
      <c r="I207" s="45"/>
      <c r="J207" s="45"/>
      <c r="K207" s="45"/>
      <c r="L207" s="45"/>
      <c r="M207" s="45"/>
      <c r="N207" s="45"/>
      <c r="S207" s="1024" t="s">
        <v>1668</v>
      </c>
      <c r="T207" s="1023">
        <v>300</v>
      </c>
    </row>
    <row r="208" spans="1:20" ht="27" customHeight="1" x14ac:dyDescent="0.25">
      <c r="A208" s="45"/>
      <c r="B208" s="2270"/>
      <c r="C208" s="2271"/>
      <c r="D208" s="1023">
        <v>450</v>
      </c>
      <c r="E208" s="2267" t="s">
        <v>1669</v>
      </c>
      <c r="F208" s="2267"/>
      <c r="G208" s="2267"/>
      <c r="H208" s="45"/>
      <c r="I208" s="45"/>
      <c r="J208" s="45"/>
      <c r="K208" s="45"/>
      <c r="L208" s="45"/>
      <c r="M208" s="45"/>
      <c r="N208" s="45"/>
      <c r="S208" s="1024" t="s">
        <v>1670</v>
      </c>
      <c r="T208" s="1023">
        <v>450</v>
      </c>
    </row>
    <row r="209" spans="1:21" ht="40.5" customHeight="1" x14ac:dyDescent="0.25">
      <c r="A209" s="45"/>
      <c r="B209" s="2272"/>
      <c r="C209" s="2273"/>
      <c r="D209" s="1023">
        <v>1500</v>
      </c>
      <c r="E209" s="2267" t="s">
        <v>1671</v>
      </c>
      <c r="F209" s="2267"/>
      <c r="G209" s="2267"/>
      <c r="H209" s="45"/>
      <c r="I209" s="45"/>
      <c r="J209" s="45"/>
      <c r="K209" s="45"/>
      <c r="L209" s="45"/>
      <c r="M209" s="45"/>
      <c r="N209" s="45"/>
      <c r="S209" s="1024" t="s">
        <v>1672</v>
      </c>
      <c r="T209" s="1023">
        <v>1500</v>
      </c>
    </row>
    <row r="210" spans="1:21" ht="28.5" customHeight="1" x14ac:dyDescent="0.25">
      <c r="A210" s="45"/>
      <c r="B210" s="2265" t="s">
        <v>1673</v>
      </c>
      <c r="C210" s="2266"/>
      <c r="D210" s="1023">
        <v>3000</v>
      </c>
      <c r="E210" s="2267" t="s">
        <v>1674</v>
      </c>
      <c r="F210" s="2267"/>
      <c r="G210" s="2267"/>
      <c r="H210" s="45"/>
      <c r="I210" s="45"/>
      <c r="J210" s="45"/>
      <c r="K210" s="45"/>
      <c r="L210" s="45"/>
      <c r="M210" s="45"/>
      <c r="N210" s="45"/>
      <c r="S210" s="1024" t="s">
        <v>1675</v>
      </c>
      <c r="T210" s="1023">
        <v>3000</v>
      </c>
    </row>
    <row r="211" spans="1:21" ht="18" customHeight="1" x14ac:dyDescent="0.25">
      <c r="A211" s="45"/>
      <c r="B211" s="46"/>
      <c r="C211" s="46"/>
      <c r="D211" s="46"/>
      <c r="E211" s="45"/>
      <c r="F211" s="45"/>
      <c r="G211" s="45"/>
      <c r="H211" s="45"/>
      <c r="I211" s="45"/>
      <c r="J211" s="45"/>
      <c r="K211" s="45"/>
      <c r="L211" s="45"/>
      <c r="M211" s="45"/>
    </row>
    <row r="212" spans="1:21" ht="16.5" customHeight="1" x14ac:dyDescent="0.25">
      <c r="A212" s="2117" t="s">
        <v>6</v>
      </c>
      <c r="B212" s="2117"/>
      <c r="C212" s="2117"/>
      <c r="D212" s="46"/>
      <c r="E212" s="45"/>
      <c r="F212" s="45"/>
      <c r="G212" s="45"/>
      <c r="H212" s="45"/>
      <c r="I212" s="45"/>
      <c r="J212" s="45"/>
      <c r="K212" s="45"/>
      <c r="L212" s="45"/>
      <c r="M212" s="45"/>
    </row>
    <row r="213" spans="1:21" ht="16.5" customHeight="1" x14ac:dyDescent="0.25">
      <c r="A213" s="45"/>
      <c r="B213" s="46"/>
      <c r="C213" s="46"/>
      <c r="D213" s="46"/>
      <c r="E213" s="46"/>
      <c r="F213" s="45"/>
      <c r="G213" s="45"/>
      <c r="H213" s="45"/>
      <c r="I213" s="45"/>
      <c r="J213" s="45"/>
      <c r="K213" s="45"/>
      <c r="L213" s="45"/>
      <c r="M213" s="45"/>
    </row>
    <row r="214" spans="1:21" ht="16.5" customHeight="1" x14ac:dyDescent="0.25">
      <c r="A214" s="45"/>
      <c r="B214" s="1025" t="s">
        <v>1676</v>
      </c>
      <c r="C214" s="46"/>
      <c r="D214" s="46"/>
      <c r="E214" s="46"/>
      <c r="F214" s="45"/>
      <c r="G214" s="45"/>
      <c r="H214" s="45"/>
      <c r="I214" s="45"/>
      <c r="J214" s="45"/>
      <c r="K214" s="45"/>
      <c r="L214" s="45"/>
      <c r="M214" s="45"/>
    </row>
    <row r="215" spans="1:21" ht="9.75" customHeight="1" x14ac:dyDescent="0.25">
      <c r="A215" s="45"/>
      <c r="B215" s="46"/>
      <c r="C215" s="46"/>
      <c r="D215" s="46"/>
      <c r="E215" s="46"/>
      <c r="F215" s="45"/>
      <c r="G215" s="45"/>
      <c r="H215" s="45"/>
      <c r="I215" s="45"/>
      <c r="J215" s="45"/>
      <c r="K215" s="45"/>
      <c r="L215" s="45"/>
      <c r="M215" s="45"/>
    </row>
    <row r="216" spans="1:21" ht="28.5" customHeight="1" x14ac:dyDescent="0.25">
      <c r="A216" s="45"/>
      <c r="B216" s="987" t="s">
        <v>1528</v>
      </c>
      <c r="C216" s="980" t="s">
        <v>1651</v>
      </c>
      <c r="D216" s="980" t="s">
        <v>1367</v>
      </c>
      <c r="E216" s="980" t="s">
        <v>711</v>
      </c>
      <c r="F216" s="980" t="s">
        <v>1677</v>
      </c>
      <c r="G216" s="2127" t="s">
        <v>1678</v>
      </c>
      <c r="H216" s="2127"/>
      <c r="I216" s="981" t="s">
        <v>1679</v>
      </c>
      <c r="J216" s="983" t="s">
        <v>77</v>
      </c>
      <c r="K216" s="45"/>
      <c r="L216" s="45"/>
      <c r="M216" s="45"/>
      <c r="N216" s="45"/>
      <c r="O216" s="45"/>
      <c r="P216" s="45"/>
    </row>
    <row r="217" spans="1:21" x14ac:dyDescent="0.25">
      <c r="A217" s="45"/>
      <c r="B217" s="977"/>
      <c r="C217" s="977" t="s">
        <v>53</v>
      </c>
      <c r="D217" s="977" t="s">
        <v>53</v>
      </c>
      <c r="E217" s="977"/>
      <c r="F217" s="313" t="str">
        <f>IFERROR(VLOOKUP(D217,$S$201:$T$210,2,FALSE)*E217,"")</f>
        <v/>
      </c>
      <c r="G217" s="1704"/>
      <c r="H217" s="1705"/>
      <c r="I217" s="977"/>
      <c r="J217" s="1066" t="str">
        <f>IFERROR(IF(OR(F217="",E217=""),"",IF(I217&gt;=F217,"Yes","No")),"")</f>
        <v/>
      </c>
      <c r="K217" s="45"/>
      <c r="L217" s="45"/>
      <c r="M217" s="45"/>
      <c r="N217" s="45"/>
      <c r="O217" s="45">
        <f>IF(J217="Yes",E217,0)</f>
        <v>0</v>
      </c>
      <c r="P217" s="45" t="s">
        <v>53</v>
      </c>
      <c r="Q217" s="35" t="str">
        <f>IF($C217="lighting purpose 1","Application 1.1",IF($C217="lighting purpose 2","Application 2.1",IF($C217="lighting purpose 3","Application 3.0","/")))</f>
        <v>/</v>
      </c>
      <c r="R217" s="35" t="str">
        <f>IF($C217="lighting purpose 1","Application 1.2",IF($C217="lighting purpose 2","Application 2.2","/"))</f>
        <v>/</v>
      </c>
      <c r="S217" s="35" t="str">
        <f>IF($C217="lighting purpose 1","Application 1.3",IF($C217="lighting purpose 2","Application 2.3","/"))</f>
        <v>/</v>
      </c>
      <c r="T217" s="35" t="str">
        <f>IF($C217="lighting purpose 1","Application 1.4",IF($C217="lighting purpose 2","Application 2.4","/"))</f>
        <v>/</v>
      </c>
      <c r="U217" s="35" t="str">
        <f>IF($C217="lighting purpose 1","Application 1.5","/")</f>
        <v>/</v>
      </c>
    </row>
    <row r="218" spans="1:21" x14ac:dyDescent="0.25">
      <c r="A218" s="45"/>
      <c r="B218" s="977"/>
      <c r="C218" s="977" t="s">
        <v>53</v>
      </c>
      <c r="D218" s="977" t="s">
        <v>53</v>
      </c>
      <c r="E218" s="977"/>
      <c r="F218" s="313" t="str">
        <f t="shared" ref="F218:F235" si="3">IFERROR(VLOOKUP(D218,$S$201:$T$210,2,FALSE)*E218,"")</f>
        <v/>
      </c>
      <c r="G218" s="1704"/>
      <c r="H218" s="1705"/>
      <c r="I218" s="977"/>
      <c r="J218" s="1066" t="str">
        <f t="shared" ref="J218:J235" si="4">IFERROR(IF(OR(F218="",E218=""),"",IF(I218&gt;=F218,"Yes","No")),"")</f>
        <v/>
      </c>
      <c r="K218" s="45"/>
      <c r="L218" s="45"/>
      <c r="M218" s="45"/>
      <c r="N218" s="45"/>
      <c r="O218" s="45">
        <f t="shared" ref="O218:O235" si="5">IF(J218="Yes",E218,0)</f>
        <v>0</v>
      </c>
      <c r="P218" s="45" t="s">
        <v>53</v>
      </c>
      <c r="Q218" s="35" t="str">
        <f t="shared" ref="Q218:Q235" si="6">IF($C218="lighting purpose 1","Application 1.1",IF($C218="lighting purpose 2","Application 2.1",IF($C218="lighting purpose 3","Application 3.0","/")))</f>
        <v>/</v>
      </c>
      <c r="R218" s="35" t="str">
        <f t="shared" ref="R218:R235" si="7">IF($C218="lighting purpose 1","Application 1.2",IF($C218="lighting purpose 2","Application 2.2","/"))</f>
        <v>/</v>
      </c>
      <c r="S218" s="35" t="str">
        <f t="shared" ref="S218:S235" si="8">IF($C218="lighting purpose 1","Application 1.3",IF($C218="lighting purpose 2","Application 2.3","/"))</f>
        <v>/</v>
      </c>
      <c r="T218" s="35" t="str">
        <f t="shared" ref="T218:T235" si="9">IF($C218="lighting purpose 1","Application 1.4",IF($C218="lighting purpose 2","Application 2.4","/"))</f>
        <v>/</v>
      </c>
      <c r="U218" s="35" t="str">
        <f t="shared" ref="U218:U235" si="10">IF($C218="lighting purpose 1","Application 1.5","/")</f>
        <v>/</v>
      </c>
    </row>
    <row r="219" spans="1:21" x14ac:dyDescent="0.25">
      <c r="A219" s="45"/>
      <c r="B219" s="977"/>
      <c r="C219" s="977" t="s">
        <v>53</v>
      </c>
      <c r="D219" s="977" t="s">
        <v>53</v>
      </c>
      <c r="E219" s="977"/>
      <c r="F219" s="313" t="str">
        <f t="shared" si="3"/>
        <v/>
      </c>
      <c r="G219" s="1704"/>
      <c r="H219" s="1705"/>
      <c r="I219" s="977"/>
      <c r="J219" s="1066" t="str">
        <f t="shared" si="4"/>
        <v/>
      </c>
      <c r="K219" s="45"/>
      <c r="L219" s="45"/>
      <c r="M219" s="45"/>
      <c r="N219" s="45"/>
      <c r="O219" s="45">
        <f t="shared" si="5"/>
        <v>0</v>
      </c>
      <c r="P219" s="45" t="s">
        <v>53</v>
      </c>
      <c r="Q219" s="35" t="str">
        <f t="shared" si="6"/>
        <v>/</v>
      </c>
      <c r="R219" s="35" t="str">
        <f t="shared" si="7"/>
        <v>/</v>
      </c>
      <c r="S219" s="35" t="str">
        <f t="shared" si="8"/>
        <v>/</v>
      </c>
      <c r="T219" s="35" t="str">
        <f t="shared" si="9"/>
        <v>/</v>
      </c>
      <c r="U219" s="35" t="str">
        <f t="shared" si="10"/>
        <v>/</v>
      </c>
    </row>
    <row r="220" spans="1:21" x14ac:dyDescent="0.25">
      <c r="A220" s="45"/>
      <c r="B220" s="977"/>
      <c r="C220" s="977" t="s">
        <v>53</v>
      </c>
      <c r="D220" s="977" t="s">
        <v>53</v>
      </c>
      <c r="E220" s="977"/>
      <c r="F220" s="313" t="str">
        <f t="shared" si="3"/>
        <v/>
      </c>
      <c r="G220" s="1704"/>
      <c r="H220" s="1705"/>
      <c r="I220" s="977"/>
      <c r="J220" s="1066" t="str">
        <f t="shared" si="4"/>
        <v/>
      </c>
      <c r="K220" s="45"/>
      <c r="L220" s="45"/>
      <c r="M220" s="45"/>
      <c r="N220" s="45"/>
      <c r="O220" s="45">
        <f t="shared" si="5"/>
        <v>0</v>
      </c>
      <c r="P220" s="45" t="s">
        <v>53</v>
      </c>
      <c r="Q220" s="35" t="str">
        <f t="shared" si="6"/>
        <v>/</v>
      </c>
      <c r="R220" s="35" t="str">
        <f t="shared" si="7"/>
        <v>/</v>
      </c>
      <c r="S220" s="35" t="str">
        <f t="shared" si="8"/>
        <v>/</v>
      </c>
      <c r="T220" s="35" t="str">
        <f t="shared" si="9"/>
        <v>/</v>
      </c>
      <c r="U220" s="35" t="str">
        <f t="shared" si="10"/>
        <v>/</v>
      </c>
    </row>
    <row r="221" spans="1:21" x14ac:dyDescent="0.25">
      <c r="A221" s="45"/>
      <c r="B221" s="977"/>
      <c r="C221" s="977" t="s">
        <v>53</v>
      </c>
      <c r="D221" s="977" t="s">
        <v>53</v>
      </c>
      <c r="E221" s="977"/>
      <c r="F221" s="313" t="str">
        <f t="shared" si="3"/>
        <v/>
      </c>
      <c r="G221" s="1704"/>
      <c r="H221" s="1705"/>
      <c r="I221" s="977"/>
      <c r="J221" s="1066" t="str">
        <f t="shared" si="4"/>
        <v/>
      </c>
      <c r="K221" s="45"/>
      <c r="L221" s="45"/>
      <c r="M221" s="45"/>
      <c r="N221" s="45"/>
      <c r="O221" s="45">
        <f t="shared" si="5"/>
        <v>0</v>
      </c>
      <c r="P221" s="45" t="s">
        <v>53</v>
      </c>
      <c r="Q221" s="35" t="str">
        <f t="shared" si="6"/>
        <v>/</v>
      </c>
      <c r="R221" s="35" t="str">
        <f t="shared" si="7"/>
        <v>/</v>
      </c>
      <c r="S221" s="35" t="str">
        <f t="shared" si="8"/>
        <v>/</v>
      </c>
      <c r="T221" s="35" t="str">
        <f t="shared" si="9"/>
        <v>/</v>
      </c>
      <c r="U221" s="35" t="str">
        <f t="shared" si="10"/>
        <v>/</v>
      </c>
    </row>
    <row r="222" spans="1:21" x14ac:dyDescent="0.25">
      <c r="A222" s="45"/>
      <c r="B222" s="977"/>
      <c r="C222" s="977" t="s">
        <v>53</v>
      </c>
      <c r="D222" s="977" t="s">
        <v>53</v>
      </c>
      <c r="E222" s="977"/>
      <c r="F222" s="313" t="str">
        <f t="shared" si="3"/>
        <v/>
      </c>
      <c r="G222" s="1704"/>
      <c r="H222" s="1705"/>
      <c r="I222" s="977"/>
      <c r="J222" s="1066" t="str">
        <f t="shared" si="4"/>
        <v/>
      </c>
      <c r="K222" s="45"/>
      <c r="L222" s="45"/>
      <c r="M222" s="45"/>
      <c r="N222" s="45"/>
      <c r="O222" s="45">
        <f t="shared" si="5"/>
        <v>0</v>
      </c>
      <c r="P222" s="45" t="s">
        <v>53</v>
      </c>
      <c r="Q222" s="35" t="str">
        <f t="shared" si="6"/>
        <v>/</v>
      </c>
      <c r="R222" s="35" t="str">
        <f t="shared" si="7"/>
        <v>/</v>
      </c>
      <c r="S222" s="35" t="str">
        <f t="shared" si="8"/>
        <v>/</v>
      </c>
      <c r="T222" s="35" t="str">
        <f t="shared" si="9"/>
        <v>/</v>
      </c>
      <c r="U222" s="35" t="str">
        <f t="shared" si="10"/>
        <v>/</v>
      </c>
    </row>
    <row r="223" spans="1:21" x14ac:dyDescent="0.25">
      <c r="A223" s="45"/>
      <c r="B223" s="1186"/>
      <c r="C223" s="1186" t="s">
        <v>53</v>
      </c>
      <c r="D223" s="1186" t="s">
        <v>53</v>
      </c>
      <c r="E223" s="1186"/>
      <c r="F223" s="1191" t="str">
        <f t="shared" ref="F223:F227" si="11">IFERROR(VLOOKUP(D223,$S$201:$T$210,2,FALSE)*E223,"")</f>
        <v/>
      </c>
      <c r="G223" s="1704"/>
      <c r="H223" s="1705"/>
      <c r="I223" s="1186"/>
      <c r="J223" s="1066" t="str">
        <f t="shared" ref="J223:J227" si="12">IFERROR(IF(OR(F223="",E223=""),"",IF(I223&gt;=F223,"Yes","No")),"")</f>
        <v/>
      </c>
      <c r="K223" s="45"/>
      <c r="L223" s="45"/>
      <c r="M223" s="45"/>
      <c r="N223" s="45"/>
      <c r="O223" s="45">
        <f t="shared" ref="O223:O227" si="13">IF(J223="Yes",E223,0)</f>
        <v>0</v>
      </c>
      <c r="P223" s="45" t="s">
        <v>53</v>
      </c>
      <c r="Q223" s="35" t="str">
        <f t="shared" si="6"/>
        <v>/</v>
      </c>
      <c r="R223" s="35" t="str">
        <f t="shared" si="7"/>
        <v>/</v>
      </c>
      <c r="S223" s="35" t="str">
        <f t="shared" si="8"/>
        <v>/</v>
      </c>
      <c r="T223" s="35" t="str">
        <f t="shared" si="9"/>
        <v>/</v>
      </c>
      <c r="U223" s="35" t="str">
        <f t="shared" si="10"/>
        <v>/</v>
      </c>
    </row>
    <row r="224" spans="1:21" x14ac:dyDescent="0.25">
      <c r="A224" s="45"/>
      <c r="B224" s="1186"/>
      <c r="C224" s="1186" t="s">
        <v>53</v>
      </c>
      <c r="D224" s="1186" t="s">
        <v>53</v>
      </c>
      <c r="E224" s="1186"/>
      <c r="F224" s="1191" t="str">
        <f t="shared" si="11"/>
        <v/>
      </c>
      <c r="G224" s="1704"/>
      <c r="H224" s="1705"/>
      <c r="I224" s="1186"/>
      <c r="J224" s="1066" t="str">
        <f t="shared" si="12"/>
        <v/>
      </c>
      <c r="K224" s="45"/>
      <c r="L224" s="45"/>
      <c r="M224" s="45"/>
      <c r="N224" s="45"/>
      <c r="O224" s="45">
        <f t="shared" si="13"/>
        <v>0</v>
      </c>
      <c r="P224" s="45" t="s">
        <v>53</v>
      </c>
      <c r="Q224" s="35" t="str">
        <f t="shared" si="6"/>
        <v>/</v>
      </c>
      <c r="R224" s="35" t="str">
        <f t="shared" si="7"/>
        <v>/</v>
      </c>
      <c r="S224" s="35" t="str">
        <f t="shared" si="8"/>
        <v>/</v>
      </c>
      <c r="T224" s="35" t="str">
        <f t="shared" si="9"/>
        <v>/</v>
      </c>
      <c r="U224" s="35" t="str">
        <f t="shared" si="10"/>
        <v>/</v>
      </c>
    </row>
    <row r="225" spans="1:21" x14ac:dyDescent="0.25">
      <c r="A225" s="45"/>
      <c r="B225" s="1186"/>
      <c r="C225" s="1186" t="s">
        <v>53</v>
      </c>
      <c r="D225" s="1186" t="s">
        <v>53</v>
      </c>
      <c r="E225" s="1186"/>
      <c r="F225" s="1191" t="str">
        <f t="shared" si="11"/>
        <v/>
      </c>
      <c r="G225" s="1704"/>
      <c r="H225" s="1705"/>
      <c r="I225" s="1186"/>
      <c r="J225" s="1066" t="str">
        <f t="shared" si="12"/>
        <v/>
      </c>
      <c r="K225" s="45"/>
      <c r="L225" s="45"/>
      <c r="M225" s="45"/>
      <c r="N225" s="45"/>
      <c r="O225" s="45">
        <f t="shared" si="13"/>
        <v>0</v>
      </c>
      <c r="P225" s="45" t="s">
        <v>53</v>
      </c>
      <c r="Q225" s="35" t="str">
        <f t="shared" si="6"/>
        <v>/</v>
      </c>
      <c r="R225" s="35" t="str">
        <f t="shared" si="7"/>
        <v>/</v>
      </c>
      <c r="S225" s="35" t="str">
        <f t="shared" si="8"/>
        <v>/</v>
      </c>
      <c r="T225" s="35" t="str">
        <f t="shared" si="9"/>
        <v>/</v>
      </c>
      <c r="U225" s="35" t="str">
        <f t="shared" si="10"/>
        <v>/</v>
      </c>
    </row>
    <row r="226" spans="1:21" x14ac:dyDescent="0.25">
      <c r="A226" s="45"/>
      <c r="B226" s="1186"/>
      <c r="C226" s="1186" t="s">
        <v>53</v>
      </c>
      <c r="D226" s="1186" t="s">
        <v>53</v>
      </c>
      <c r="E226" s="1186"/>
      <c r="F226" s="1191" t="str">
        <f t="shared" si="11"/>
        <v/>
      </c>
      <c r="G226" s="1704"/>
      <c r="H226" s="1705"/>
      <c r="I226" s="1186"/>
      <c r="J226" s="1066" t="str">
        <f t="shared" si="12"/>
        <v/>
      </c>
      <c r="K226" s="45"/>
      <c r="L226" s="45"/>
      <c r="M226" s="45"/>
      <c r="N226" s="45"/>
      <c r="O226" s="45">
        <f t="shared" si="13"/>
        <v>0</v>
      </c>
      <c r="P226" s="45" t="s">
        <v>53</v>
      </c>
      <c r="Q226" s="35" t="str">
        <f t="shared" si="6"/>
        <v>/</v>
      </c>
      <c r="R226" s="35" t="str">
        <f t="shared" si="7"/>
        <v>/</v>
      </c>
      <c r="S226" s="35" t="str">
        <f t="shared" si="8"/>
        <v>/</v>
      </c>
      <c r="T226" s="35" t="str">
        <f t="shared" si="9"/>
        <v>/</v>
      </c>
      <c r="U226" s="35" t="str">
        <f t="shared" si="10"/>
        <v>/</v>
      </c>
    </row>
    <row r="227" spans="1:21" x14ac:dyDescent="0.25">
      <c r="A227" s="45"/>
      <c r="B227" s="1186"/>
      <c r="C227" s="1186" t="s">
        <v>53</v>
      </c>
      <c r="D227" s="1186" t="s">
        <v>53</v>
      </c>
      <c r="E227" s="1186"/>
      <c r="F227" s="1191" t="str">
        <f t="shared" si="11"/>
        <v/>
      </c>
      <c r="G227" s="1704"/>
      <c r="H227" s="1705"/>
      <c r="I227" s="1186"/>
      <c r="J227" s="1066" t="str">
        <f t="shared" si="12"/>
        <v/>
      </c>
      <c r="K227" s="45"/>
      <c r="L227" s="45"/>
      <c r="M227" s="45"/>
      <c r="N227" s="45"/>
      <c r="O227" s="45">
        <f t="shared" si="13"/>
        <v>0</v>
      </c>
      <c r="P227" s="45" t="s">
        <v>53</v>
      </c>
      <c r="Q227" s="35" t="str">
        <f t="shared" si="6"/>
        <v>/</v>
      </c>
      <c r="R227" s="35" t="str">
        <f t="shared" si="7"/>
        <v>/</v>
      </c>
      <c r="S227" s="35" t="str">
        <f t="shared" si="8"/>
        <v>/</v>
      </c>
      <c r="T227" s="35" t="str">
        <f t="shared" si="9"/>
        <v>/</v>
      </c>
      <c r="U227" s="35" t="str">
        <f t="shared" si="10"/>
        <v>/</v>
      </c>
    </row>
    <row r="228" spans="1:21" x14ac:dyDescent="0.25">
      <c r="A228" s="45"/>
      <c r="B228" s="977"/>
      <c r="C228" s="977" t="s">
        <v>53</v>
      </c>
      <c r="D228" s="977" t="s">
        <v>53</v>
      </c>
      <c r="E228" s="977"/>
      <c r="F228" s="313" t="str">
        <f t="shared" si="3"/>
        <v/>
      </c>
      <c r="G228" s="1704"/>
      <c r="H228" s="1705"/>
      <c r="I228" s="977"/>
      <c r="J228" s="1066" t="str">
        <f t="shared" si="4"/>
        <v/>
      </c>
      <c r="K228" s="45"/>
      <c r="L228" s="45"/>
      <c r="M228" s="45"/>
      <c r="N228" s="45"/>
      <c r="O228" s="45">
        <f t="shared" si="5"/>
        <v>0</v>
      </c>
      <c r="P228" s="45" t="s">
        <v>53</v>
      </c>
      <c r="Q228" s="35" t="str">
        <f t="shared" si="6"/>
        <v>/</v>
      </c>
      <c r="R228" s="35" t="str">
        <f t="shared" si="7"/>
        <v>/</v>
      </c>
      <c r="S228" s="35" t="str">
        <f t="shared" si="8"/>
        <v>/</v>
      </c>
      <c r="T228" s="35" t="str">
        <f t="shared" si="9"/>
        <v>/</v>
      </c>
      <c r="U228" s="35" t="str">
        <f t="shared" si="10"/>
        <v>/</v>
      </c>
    </row>
    <row r="229" spans="1:21" x14ac:dyDescent="0.25">
      <c r="A229" s="45"/>
      <c r="B229" s="977"/>
      <c r="C229" s="977" t="s">
        <v>53</v>
      </c>
      <c r="D229" s="977" t="s">
        <v>53</v>
      </c>
      <c r="E229" s="977"/>
      <c r="F229" s="313" t="str">
        <f t="shared" si="3"/>
        <v/>
      </c>
      <c r="G229" s="1704"/>
      <c r="H229" s="1705"/>
      <c r="I229" s="977"/>
      <c r="J229" s="1066" t="str">
        <f t="shared" si="4"/>
        <v/>
      </c>
      <c r="K229" s="45"/>
      <c r="L229" s="45"/>
      <c r="M229" s="45"/>
      <c r="N229" s="45"/>
      <c r="O229" s="45">
        <f t="shared" si="5"/>
        <v>0</v>
      </c>
      <c r="P229" s="45" t="s">
        <v>53</v>
      </c>
      <c r="Q229" s="35" t="str">
        <f t="shared" si="6"/>
        <v>/</v>
      </c>
      <c r="R229" s="35" t="str">
        <f t="shared" si="7"/>
        <v>/</v>
      </c>
      <c r="S229" s="35" t="str">
        <f t="shared" si="8"/>
        <v>/</v>
      </c>
      <c r="T229" s="35" t="str">
        <f t="shared" si="9"/>
        <v>/</v>
      </c>
      <c r="U229" s="35" t="str">
        <f t="shared" si="10"/>
        <v>/</v>
      </c>
    </row>
    <row r="230" spans="1:21" x14ac:dyDescent="0.25">
      <c r="A230" s="45"/>
      <c r="B230" s="977"/>
      <c r="C230" s="977" t="s">
        <v>53</v>
      </c>
      <c r="D230" s="977" t="s">
        <v>53</v>
      </c>
      <c r="E230" s="977"/>
      <c r="F230" s="313" t="str">
        <f t="shared" si="3"/>
        <v/>
      </c>
      <c r="G230" s="1704"/>
      <c r="H230" s="1705"/>
      <c r="I230" s="977"/>
      <c r="J230" s="1066" t="str">
        <f t="shared" si="4"/>
        <v/>
      </c>
      <c r="K230" s="45"/>
      <c r="L230" s="45"/>
      <c r="M230" s="45"/>
      <c r="N230" s="45"/>
      <c r="O230" s="45">
        <f t="shared" si="5"/>
        <v>0</v>
      </c>
      <c r="P230" s="45" t="s">
        <v>53</v>
      </c>
      <c r="Q230" s="35" t="str">
        <f t="shared" si="6"/>
        <v>/</v>
      </c>
      <c r="R230" s="35" t="str">
        <f t="shared" si="7"/>
        <v>/</v>
      </c>
      <c r="S230" s="35" t="str">
        <f t="shared" si="8"/>
        <v>/</v>
      </c>
      <c r="T230" s="35" t="str">
        <f t="shared" si="9"/>
        <v>/</v>
      </c>
      <c r="U230" s="35" t="str">
        <f t="shared" si="10"/>
        <v>/</v>
      </c>
    </row>
    <row r="231" spans="1:21" x14ac:dyDescent="0.25">
      <c r="A231" s="45"/>
      <c r="B231" s="977"/>
      <c r="C231" s="977" t="s">
        <v>53</v>
      </c>
      <c r="D231" s="977" t="s">
        <v>53</v>
      </c>
      <c r="E231" s="977"/>
      <c r="F231" s="313" t="str">
        <f t="shared" si="3"/>
        <v/>
      </c>
      <c r="G231" s="1704"/>
      <c r="H231" s="1705"/>
      <c r="I231" s="977"/>
      <c r="J231" s="1066" t="str">
        <f t="shared" si="4"/>
        <v/>
      </c>
      <c r="K231" s="45"/>
      <c r="L231" s="45"/>
      <c r="M231" s="45"/>
      <c r="N231" s="45"/>
      <c r="O231" s="45">
        <f t="shared" si="5"/>
        <v>0</v>
      </c>
      <c r="P231" s="45" t="s">
        <v>53</v>
      </c>
      <c r="Q231" s="35" t="str">
        <f t="shared" si="6"/>
        <v>/</v>
      </c>
      <c r="R231" s="35" t="str">
        <f t="shared" si="7"/>
        <v>/</v>
      </c>
      <c r="S231" s="35" t="str">
        <f t="shared" si="8"/>
        <v>/</v>
      </c>
      <c r="T231" s="35" t="str">
        <f t="shared" si="9"/>
        <v>/</v>
      </c>
      <c r="U231" s="35" t="str">
        <f t="shared" si="10"/>
        <v>/</v>
      </c>
    </row>
    <row r="232" spans="1:21" x14ac:dyDescent="0.25">
      <c r="A232" s="45"/>
      <c r="B232" s="977"/>
      <c r="C232" s="977" t="s">
        <v>53</v>
      </c>
      <c r="D232" s="977" t="s">
        <v>53</v>
      </c>
      <c r="E232" s="977"/>
      <c r="F232" s="313" t="str">
        <f t="shared" si="3"/>
        <v/>
      </c>
      <c r="G232" s="1704"/>
      <c r="H232" s="1705"/>
      <c r="I232" s="977"/>
      <c r="J232" s="1066" t="str">
        <f t="shared" si="4"/>
        <v/>
      </c>
      <c r="K232" s="45"/>
      <c r="L232" s="45"/>
      <c r="M232" s="45"/>
      <c r="N232" s="45"/>
      <c r="O232" s="45">
        <f t="shared" si="5"/>
        <v>0</v>
      </c>
      <c r="P232" s="45" t="s">
        <v>53</v>
      </c>
      <c r="Q232" s="35" t="str">
        <f t="shared" si="6"/>
        <v>/</v>
      </c>
      <c r="R232" s="35" t="str">
        <f t="shared" si="7"/>
        <v>/</v>
      </c>
      <c r="S232" s="35" t="str">
        <f t="shared" si="8"/>
        <v>/</v>
      </c>
      <c r="T232" s="35" t="str">
        <f t="shared" si="9"/>
        <v>/</v>
      </c>
      <c r="U232" s="35" t="str">
        <f t="shared" si="10"/>
        <v>/</v>
      </c>
    </row>
    <row r="233" spans="1:21" x14ac:dyDescent="0.25">
      <c r="A233" s="45"/>
      <c r="B233" s="977"/>
      <c r="C233" s="977" t="s">
        <v>53</v>
      </c>
      <c r="D233" s="977" t="s">
        <v>53</v>
      </c>
      <c r="E233" s="977"/>
      <c r="F233" s="313" t="str">
        <f t="shared" si="3"/>
        <v/>
      </c>
      <c r="G233" s="1704"/>
      <c r="H233" s="1705"/>
      <c r="I233" s="977"/>
      <c r="J233" s="1066" t="str">
        <f t="shared" si="4"/>
        <v/>
      </c>
      <c r="K233" s="45"/>
      <c r="L233" s="45"/>
      <c r="M233" s="45"/>
      <c r="N233" s="45"/>
      <c r="O233" s="45">
        <f t="shared" si="5"/>
        <v>0</v>
      </c>
      <c r="P233" s="45" t="s">
        <v>53</v>
      </c>
      <c r="Q233" s="35" t="str">
        <f t="shared" si="6"/>
        <v>/</v>
      </c>
      <c r="R233" s="35" t="str">
        <f t="shared" si="7"/>
        <v>/</v>
      </c>
      <c r="S233" s="35" t="str">
        <f t="shared" si="8"/>
        <v>/</v>
      </c>
      <c r="T233" s="35" t="str">
        <f t="shared" si="9"/>
        <v>/</v>
      </c>
      <c r="U233" s="35" t="str">
        <f t="shared" si="10"/>
        <v>/</v>
      </c>
    </row>
    <row r="234" spans="1:21" x14ac:dyDescent="0.25">
      <c r="A234" s="45"/>
      <c r="B234" s="977"/>
      <c r="C234" s="977" t="s">
        <v>53</v>
      </c>
      <c r="D234" s="977" t="s">
        <v>53</v>
      </c>
      <c r="E234" s="977"/>
      <c r="F234" s="313" t="str">
        <f t="shared" si="3"/>
        <v/>
      </c>
      <c r="G234" s="1704"/>
      <c r="H234" s="1705"/>
      <c r="I234" s="977"/>
      <c r="J234" s="1066" t="str">
        <f t="shared" si="4"/>
        <v/>
      </c>
      <c r="K234" s="45"/>
      <c r="L234" s="45"/>
      <c r="M234" s="45"/>
      <c r="N234" s="45"/>
      <c r="O234" s="45">
        <f t="shared" si="5"/>
        <v>0</v>
      </c>
      <c r="P234" s="45" t="s">
        <v>53</v>
      </c>
      <c r="Q234" s="35" t="str">
        <f t="shared" si="6"/>
        <v>/</v>
      </c>
      <c r="R234" s="35" t="str">
        <f t="shared" si="7"/>
        <v>/</v>
      </c>
      <c r="S234" s="35" t="str">
        <f t="shared" si="8"/>
        <v>/</v>
      </c>
      <c r="T234" s="35" t="str">
        <f t="shared" si="9"/>
        <v>/</v>
      </c>
      <c r="U234" s="35" t="str">
        <f t="shared" si="10"/>
        <v>/</v>
      </c>
    </row>
    <row r="235" spans="1:21" x14ac:dyDescent="0.25">
      <c r="A235" s="45"/>
      <c r="B235" s="977"/>
      <c r="C235" s="977" t="s">
        <v>53</v>
      </c>
      <c r="D235" s="977" t="s">
        <v>53</v>
      </c>
      <c r="E235" s="977"/>
      <c r="F235" s="313" t="str">
        <f t="shared" si="3"/>
        <v/>
      </c>
      <c r="G235" s="1704"/>
      <c r="H235" s="1705"/>
      <c r="I235" s="977"/>
      <c r="J235" s="1066" t="str">
        <f t="shared" si="4"/>
        <v/>
      </c>
      <c r="K235" s="45"/>
      <c r="L235" s="45"/>
      <c r="M235" s="45"/>
      <c r="N235" s="45"/>
      <c r="O235" s="45">
        <f t="shared" si="5"/>
        <v>0</v>
      </c>
      <c r="P235" s="45" t="s">
        <v>53</v>
      </c>
      <c r="Q235" s="35" t="str">
        <f t="shared" si="6"/>
        <v>/</v>
      </c>
      <c r="R235" s="35" t="str">
        <f t="shared" si="7"/>
        <v>/</v>
      </c>
      <c r="S235" s="35" t="str">
        <f t="shared" si="8"/>
        <v>/</v>
      </c>
      <c r="T235" s="35" t="str">
        <f t="shared" si="9"/>
        <v>/</v>
      </c>
      <c r="U235" s="35" t="str">
        <f t="shared" si="10"/>
        <v>/</v>
      </c>
    </row>
    <row r="236" spans="1:21" ht="16.5" customHeight="1" x14ac:dyDescent="0.25">
      <c r="A236" s="45"/>
      <c r="B236" s="46"/>
      <c r="C236" s="46"/>
      <c r="D236" s="46"/>
      <c r="E236" s="46"/>
      <c r="F236" s="45"/>
      <c r="G236" s="45"/>
      <c r="H236" s="45"/>
      <c r="I236" s="45"/>
      <c r="J236" s="45"/>
      <c r="K236" s="45"/>
      <c r="L236" s="45"/>
      <c r="M236" s="45"/>
      <c r="O236" s="45"/>
    </row>
    <row r="237" spans="1:21" ht="18" customHeight="1" x14ac:dyDescent="0.25">
      <c r="A237" s="45"/>
      <c r="B237" s="2124" t="s">
        <v>2039</v>
      </c>
      <c r="C237" s="2125"/>
      <c r="D237" s="2125"/>
      <c r="E237" s="2126"/>
      <c r="F237" s="66">
        <f>IFERROR(SUM(O217:O235)/SUM(E217:E235),0)</f>
        <v>0</v>
      </c>
      <c r="G237" s="45"/>
      <c r="H237" s="45"/>
      <c r="I237" s="45"/>
      <c r="J237" s="45"/>
      <c r="K237" s="45"/>
      <c r="L237" s="45"/>
      <c r="M237" s="45"/>
      <c r="O237" s="45"/>
    </row>
    <row r="238" spans="1:21" ht="18.75" customHeight="1" x14ac:dyDescent="0.25">
      <c r="A238" s="45"/>
      <c r="B238" s="46"/>
      <c r="C238" s="46"/>
      <c r="D238" s="46"/>
      <c r="E238" s="45"/>
      <c r="F238" s="45"/>
      <c r="G238" s="45"/>
      <c r="H238" s="45"/>
      <c r="I238" s="45"/>
      <c r="J238" s="45"/>
      <c r="K238" s="45"/>
      <c r="L238" s="45"/>
      <c r="M238" s="45"/>
      <c r="O238" s="45"/>
    </row>
    <row r="239" spans="1:21" ht="16.5" customHeight="1" x14ac:dyDescent="0.25">
      <c r="A239" s="2117" t="s">
        <v>84</v>
      </c>
      <c r="B239" s="2117"/>
      <c r="C239" s="2117"/>
      <c r="D239" s="46"/>
      <c r="E239" s="46"/>
      <c r="F239" s="46"/>
      <c r="G239" s="46"/>
      <c r="H239" s="46"/>
      <c r="I239" s="46"/>
      <c r="J239" s="46"/>
      <c r="K239" s="46"/>
      <c r="L239" s="46"/>
      <c r="M239" s="45"/>
      <c r="O239" s="45"/>
    </row>
    <row r="240" spans="1:21" ht="16.5" customHeight="1" x14ac:dyDescent="0.25">
      <c r="A240" s="45"/>
      <c r="B240" s="46"/>
      <c r="C240" s="46"/>
      <c r="D240" s="46"/>
      <c r="E240" s="45"/>
      <c r="F240" s="45"/>
      <c r="G240" s="45"/>
      <c r="H240" s="45"/>
      <c r="I240" s="45"/>
      <c r="J240" s="45"/>
      <c r="K240" s="45"/>
      <c r="L240" s="45"/>
      <c r="M240" s="45"/>
      <c r="O240" s="45"/>
    </row>
    <row r="241" spans="1:15" ht="18" customHeight="1" x14ac:dyDescent="0.25">
      <c r="A241" s="45"/>
      <c r="B241" s="2104" t="s">
        <v>1530</v>
      </c>
      <c r="C241" s="2105"/>
      <c r="D241" s="2105"/>
      <c r="E241" s="2105"/>
      <c r="F241" s="2105"/>
      <c r="G241" s="980" t="s">
        <v>907</v>
      </c>
      <c r="H241" s="2106" t="s">
        <v>908</v>
      </c>
      <c r="I241" s="2174"/>
      <c r="J241" s="45"/>
      <c r="K241" s="45"/>
      <c r="L241" s="45"/>
      <c r="M241" s="45"/>
      <c r="O241" s="45"/>
    </row>
    <row r="242" spans="1:15" ht="24" customHeight="1" x14ac:dyDescent="0.25">
      <c r="A242" s="45"/>
      <c r="B242" s="1648" t="str">
        <f>Submittals!G108</f>
        <v>• Technical data of the lighting fixtures showing lumen output</v>
      </c>
      <c r="C242" s="1649"/>
      <c r="D242" s="1649"/>
      <c r="E242" s="1649"/>
      <c r="F242" s="1650"/>
      <c r="G242" s="975" t="s">
        <v>53</v>
      </c>
      <c r="H242" s="1739"/>
      <c r="I242" s="1740"/>
      <c r="J242" s="45"/>
      <c r="K242" s="45"/>
      <c r="L242" s="45"/>
      <c r="M242" s="45"/>
      <c r="N242" s="35" t="str">
        <f>IF(OR(B242="/",B242="No evidence required at this submission stage"),"Yes",IF(G242="Submitted","Yes","No"))</f>
        <v>No</v>
      </c>
    </row>
    <row r="243" spans="1:15" ht="27" customHeight="1" x14ac:dyDescent="0.25">
      <c r="A243" s="45"/>
      <c r="B243" s="1648" t="str">
        <f>Submittals!G109</f>
        <v>• Evidence showing that the lighting fixtures were installed such as photographs, electrical drawings, invoices, etc.</v>
      </c>
      <c r="C243" s="1649"/>
      <c r="D243" s="1649"/>
      <c r="E243" s="1649"/>
      <c r="F243" s="1650"/>
      <c r="G243" s="975" t="s">
        <v>53</v>
      </c>
      <c r="H243" s="1739"/>
      <c r="I243" s="1740"/>
      <c r="J243" s="45"/>
      <c r="K243" s="45"/>
      <c r="L243" s="45"/>
      <c r="M243" s="45"/>
      <c r="N243" s="35" t="str">
        <f>IF(OR(B243="/",B243="No evidence required at this submission stage"),"Yes",IF(G243="Submitted","Yes","No"))</f>
        <v>No</v>
      </c>
    </row>
    <row r="244" spans="1:15" ht="17.25" customHeight="1" x14ac:dyDescent="0.25">
      <c r="A244" s="45"/>
      <c r="B244" s="46"/>
      <c r="C244" s="46"/>
      <c r="D244" s="46"/>
      <c r="E244" s="45"/>
      <c r="F244" s="45"/>
      <c r="G244" s="45"/>
      <c r="H244" s="45"/>
      <c r="I244" s="45"/>
      <c r="J244" s="45"/>
      <c r="K244" s="45"/>
      <c r="L244" s="45"/>
      <c r="M244" s="45"/>
    </row>
    <row r="245" spans="1:15" ht="16.5" customHeight="1" x14ac:dyDescent="0.25">
      <c r="A245" s="2117" t="s">
        <v>5</v>
      </c>
      <c r="B245" s="2117"/>
      <c r="C245" s="2117"/>
      <c r="D245" s="46"/>
      <c r="E245" s="45"/>
      <c r="F245" s="45"/>
      <c r="G245" s="45"/>
      <c r="H245" s="45"/>
      <c r="I245" s="45"/>
      <c r="J245" s="45"/>
      <c r="K245" s="45"/>
      <c r="L245" s="45"/>
      <c r="M245" s="45"/>
    </row>
    <row r="246" spans="1:15" ht="16.5" customHeight="1" x14ac:dyDescent="0.25">
      <c r="A246" s="45"/>
      <c r="B246" s="46"/>
      <c r="C246" s="46"/>
      <c r="D246" s="46"/>
      <c r="E246" s="45"/>
      <c r="F246" s="45"/>
      <c r="G246" s="45"/>
      <c r="H246" s="45"/>
      <c r="I246" s="45"/>
      <c r="J246" s="45"/>
      <c r="K246" s="45"/>
      <c r="L246" s="45"/>
      <c r="M246" s="45"/>
    </row>
    <row r="247" spans="1:15" ht="16.5" customHeight="1" x14ac:dyDescent="0.25">
      <c r="A247" s="45"/>
      <c r="B247" s="134" t="s">
        <v>16</v>
      </c>
      <c r="C247" s="8">
        <f>IF(F237&gt;=0.95,1,0)</f>
        <v>0</v>
      </c>
      <c r="D247" s="46"/>
      <c r="E247" s="45"/>
      <c r="F247" s="45"/>
      <c r="G247" s="45"/>
      <c r="H247" s="45"/>
      <c r="I247" s="45"/>
      <c r="J247" s="45"/>
      <c r="K247" s="45"/>
      <c r="L247" s="45"/>
      <c r="M247" s="45"/>
    </row>
    <row r="248" spans="1:15" ht="16.5" customHeight="1" x14ac:dyDescent="0.25">
      <c r="A248" s="45"/>
      <c r="B248" s="135" t="s">
        <v>133</v>
      </c>
      <c r="C248" s="8" t="str">
        <f>IF(AND(COUNTIF(N242:N243,"Yes")=2,C247&gt;0),"Yes","No")</f>
        <v>No</v>
      </c>
      <c r="D248" s="46"/>
      <c r="E248" s="45"/>
      <c r="F248" s="45"/>
      <c r="G248" s="45"/>
      <c r="H248" s="45"/>
      <c r="I248" s="45"/>
      <c r="J248" s="45"/>
      <c r="K248" s="45"/>
      <c r="L248" s="45"/>
      <c r="M248" s="45"/>
    </row>
    <row r="249" spans="1:15" ht="18.75" customHeight="1" x14ac:dyDescent="0.25">
      <c r="A249" s="45"/>
      <c r="B249" s="46"/>
      <c r="C249" s="46"/>
      <c r="D249" s="46"/>
      <c r="E249" s="45"/>
      <c r="F249" s="45"/>
      <c r="G249" s="45"/>
      <c r="H249" s="45"/>
      <c r="I249" s="45"/>
      <c r="J249" s="45"/>
      <c r="K249" s="45"/>
      <c r="L249" s="45"/>
      <c r="M249" s="45"/>
    </row>
    <row r="250" spans="1:15" ht="18" customHeight="1" x14ac:dyDescent="0.25">
      <c r="A250" s="2107" t="s">
        <v>2378</v>
      </c>
      <c r="B250" s="2107"/>
      <c r="C250" s="2107"/>
      <c r="D250" s="2107"/>
      <c r="E250" s="2107"/>
      <c r="F250" s="2107"/>
      <c r="G250" s="2107"/>
      <c r="H250" s="2107"/>
      <c r="I250" s="2107"/>
      <c r="J250" s="2107"/>
      <c r="K250" s="2107"/>
      <c r="L250" s="2107"/>
      <c r="M250" s="2107"/>
    </row>
    <row r="251" spans="1:15" x14ac:dyDescent="0.25">
      <c r="A251" s="45"/>
      <c r="B251" s="46"/>
      <c r="C251" s="1017"/>
      <c r="D251" s="46"/>
      <c r="E251" s="45"/>
      <c r="F251" s="45"/>
      <c r="G251" s="45"/>
      <c r="H251" s="45"/>
      <c r="I251" s="45"/>
      <c r="J251" s="45"/>
      <c r="K251" s="45"/>
      <c r="L251" s="45"/>
      <c r="M251" s="45"/>
    </row>
    <row r="252" spans="1:15" ht="16.5" customHeight="1" x14ac:dyDescent="0.25">
      <c r="A252" s="45"/>
      <c r="B252" s="2192" t="s">
        <v>99</v>
      </c>
      <c r="C252" s="2192"/>
      <c r="D252" s="1939" t="s">
        <v>53</v>
      </c>
      <c r="E252" s="1939"/>
      <c r="F252" s="45"/>
      <c r="G252" s="45"/>
      <c r="H252" s="45"/>
      <c r="I252" s="45"/>
      <c r="J252" s="45"/>
      <c r="K252" s="45"/>
      <c r="L252" s="45"/>
      <c r="M252" s="45"/>
    </row>
    <row r="253" spans="1:15" x14ac:dyDescent="0.25">
      <c r="A253" s="45"/>
      <c r="B253" s="46"/>
      <c r="C253" s="46"/>
      <c r="D253" s="46"/>
      <c r="E253" s="45"/>
      <c r="F253" s="45"/>
      <c r="G253" s="45"/>
      <c r="H253" s="45"/>
      <c r="I253" s="45"/>
      <c r="J253" s="45"/>
      <c r="K253" s="45"/>
      <c r="L253" s="45"/>
      <c r="M253" s="45"/>
    </row>
    <row r="254" spans="1:15" ht="18" customHeight="1" x14ac:dyDescent="0.25">
      <c r="A254" s="2107" t="s">
        <v>977</v>
      </c>
      <c r="B254" s="2107"/>
      <c r="C254" s="2107"/>
      <c r="D254" s="2107"/>
      <c r="E254" s="114"/>
      <c r="F254" s="114"/>
      <c r="G254" s="114"/>
      <c r="H254" s="114"/>
      <c r="I254" s="114"/>
      <c r="J254" s="114"/>
      <c r="K254" s="114"/>
      <c r="L254" s="114"/>
      <c r="M254" s="114"/>
    </row>
    <row r="255" spans="1:15" x14ac:dyDescent="0.25">
      <c r="A255" s="114"/>
      <c r="B255" s="118"/>
      <c r="C255" s="118"/>
      <c r="D255" s="118"/>
      <c r="E255" s="118"/>
      <c r="F255" s="114"/>
      <c r="G255" s="114"/>
      <c r="H255" s="114"/>
      <c r="I255" s="114"/>
      <c r="J255" s="114"/>
      <c r="K255" s="114"/>
      <c r="L255" s="114"/>
      <c r="M255" s="114"/>
    </row>
    <row r="256" spans="1:15" ht="16.5" customHeight="1" x14ac:dyDescent="0.25">
      <c r="A256" s="2117" t="s">
        <v>102</v>
      </c>
      <c r="B256" s="2117"/>
      <c r="C256" s="2117"/>
      <c r="D256" s="118"/>
      <c r="E256" s="114"/>
      <c r="F256" s="114"/>
      <c r="G256" s="114"/>
      <c r="H256" s="114"/>
      <c r="I256" s="114"/>
      <c r="J256" s="114"/>
      <c r="K256" s="114"/>
      <c r="L256" s="114"/>
      <c r="M256" s="114"/>
    </row>
    <row r="257" spans="1:15" x14ac:dyDescent="0.25">
      <c r="A257" s="114"/>
      <c r="B257" s="118"/>
      <c r="C257" s="118"/>
      <c r="D257" s="118"/>
      <c r="E257" s="114"/>
      <c r="F257" s="114"/>
      <c r="G257" s="114"/>
      <c r="H257" s="114"/>
      <c r="I257" s="114"/>
      <c r="J257" s="114"/>
      <c r="K257" s="114"/>
      <c r="L257" s="114"/>
      <c r="M257" s="114"/>
    </row>
    <row r="258" spans="1:15" x14ac:dyDescent="0.25">
      <c r="A258" s="114"/>
      <c r="B258" s="528" t="s">
        <v>1774</v>
      </c>
      <c r="C258" s="118"/>
      <c r="D258" s="118"/>
      <c r="E258" s="114"/>
      <c r="F258" s="114"/>
      <c r="G258" s="114"/>
      <c r="H258" s="114"/>
      <c r="I258" s="114"/>
      <c r="J258" s="114"/>
      <c r="K258" s="114"/>
      <c r="L258" s="114"/>
      <c r="M258" s="114"/>
    </row>
    <row r="259" spans="1:15" ht="18" customHeight="1" x14ac:dyDescent="0.25">
      <c r="A259" s="114"/>
      <c r="B259" s="118"/>
      <c r="C259" s="118"/>
      <c r="D259" s="118"/>
      <c r="E259" s="114"/>
      <c r="F259" s="114"/>
      <c r="G259" s="114"/>
      <c r="H259" s="114"/>
      <c r="I259" s="114"/>
      <c r="J259" s="114"/>
      <c r="K259" s="114"/>
      <c r="L259" s="114"/>
      <c r="M259" s="114"/>
    </row>
    <row r="260" spans="1:15" x14ac:dyDescent="0.25">
      <c r="A260" s="114"/>
      <c r="B260" s="750" t="s">
        <v>1292</v>
      </c>
      <c r="C260" s="118"/>
      <c r="D260" s="118"/>
      <c r="E260" s="118"/>
      <c r="F260" s="118"/>
      <c r="G260" s="118"/>
      <c r="H260" s="118"/>
      <c r="I260" s="114"/>
      <c r="J260" s="114"/>
      <c r="K260" s="114"/>
      <c r="L260" s="114"/>
      <c r="M260" s="114"/>
    </row>
    <row r="261" spans="1:15" ht="12" customHeight="1" x14ac:dyDescent="0.25">
      <c r="A261" s="114"/>
      <c r="B261" s="118"/>
      <c r="C261" s="118"/>
      <c r="D261" s="118"/>
      <c r="E261" s="118"/>
      <c r="F261" s="118"/>
      <c r="G261" s="118"/>
      <c r="H261" s="118"/>
      <c r="I261" s="114"/>
      <c r="J261" s="114"/>
      <c r="K261" s="114"/>
      <c r="L261" s="114"/>
      <c r="M261" s="114"/>
    </row>
    <row r="262" spans="1:15" ht="33.75" customHeight="1" x14ac:dyDescent="0.25">
      <c r="A262" s="114"/>
      <c r="B262" s="987" t="s">
        <v>1528</v>
      </c>
      <c r="C262" s="981" t="s">
        <v>632</v>
      </c>
      <c r="D262" s="981" t="s">
        <v>1291</v>
      </c>
      <c r="E262" s="981" t="s">
        <v>1289</v>
      </c>
      <c r="F262" s="981" t="s">
        <v>1290</v>
      </c>
      <c r="G262" s="2127" t="s">
        <v>12</v>
      </c>
      <c r="H262" s="2128"/>
      <c r="I262" s="114"/>
      <c r="J262" s="114"/>
      <c r="K262" s="114"/>
      <c r="L262" s="114"/>
      <c r="M262" s="114"/>
    </row>
    <row r="263" spans="1:15" x14ac:dyDescent="0.25">
      <c r="A263" s="114"/>
      <c r="B263" s="975"/>
      <c r="C263" s="975"/>
      <c r="D263" s="975" t="s">
        <v>53</v>
      </c>
      <c r="E263" s="772" t="s">
        <v>53</v>
      </c>
      <c r="F263" s="975"/>
      <c r="G263" s="1689"/>
      <c r="H263" s="1690"/>
      <c r="I263" s="114"/>
      <c r="J263" s="114"/>
      <c r="K263" s="114"/>
      <c r="L263" s="114"/>
      <c r="M263" s="114"/>
      <c r="O263" s="35" t="str">
        <f>IF(AND(D263&lt;&gt;"Select",D263&lt;&gt;"",E263&lt;&gt;"",E263&lt;&gt;"Select",F263&lt;&gt;""),IF(F263&lt;=D263+E263,"Yes","No"),"")</f>
        <v/>
      </c>
    </row>
    <row r="264" spans="1:15" x14ac:dyDescent="0.25">
      <c r="A264" s="114"/>
      <c r="B264" s="975"/>
      <c r="C264" s="975"/>
      <c r="D264" s="975" t="s">
        <v>53</v>
      </c>
      <c r="E264" s="772" t="s">
        <v>53</v>
      </c>
      <c r="F264" s="975"/>
      <c r="G264" s="1689"/>
      <c r="H264" s="1690"/>
      <c r="I264" s="114"/>
      <c r="J264" s="114"/>
      <c r="K264" s="114"/>
      <c r="L264" s="114"/>
      <c r="M264" s="114"/>
      <c r="O264" s="35" t="str">
        <f t="shared" ref="O264:O283" si="14">IF(AND(D264&lt;&gt;"Select",D264&lt;&gt;"",E264&lt;&gt;"",E264&lt;&gt;"Select"),IF(F264&lt;=D264+E264,"Yes","No"),"")</f>
        <v/>
      </c>
    </row>
    <row r="265" spans="1:15" x14ac:dyDescent="0.25">
      <c r="A265" s="114"/>
      <c r="B265" s="975"/>
      <c r="C265" s="975"/>
      <c r="D265" s="975" t="s">
        <v>53</v>
      </c>
      <c r="E265" s="975" t="s">
        <v>53</v>
      </c>
      <c r="F265" s="975"/>
      <c r="G265" s="1689"/>
      <c r="H265" s="1690"/>
      <c r="I265" s="114"/>
      <c r="J265" s="114"/>
      <c r="K265" s="114"/>
      <c r="L265" s="114"/>
      <c r="M265" s="114"/>
      <c r="O265" s="35" t="str">
        <f t="shared" si="14"/>
        <v/>
      </c>
    </row>
    <row r="266" spans="1:15" x14ac:dyDescent="0.25">
      <c r="A266" s="114"/>
      <c r="B266" s="975"/>
      <c r="C266" s="975"/>
      <c r="D266" s="975" t="s">
        <v>53</v>
      </c>
      <c r="E266" s="975" t="s">
        <v>53</v>
      </c>
      <c r="F266" s="975"/>
      <c r="G266" s="1689"/>
      <c r="H266" s="1690"/>
      <c r="I266" s="114"/>
      <c r="J266" s="114"/>
      <c r="K266" s="114"/>
      <c r="L266" s="114"/>
      <c r="M266" s="114"/>
      <c r="O266" s="35" t="str">
        <f t="shared" si="14"/>
        <v/>
      </c>
    </row>
    <row r="267" spans="1:15" x14ac:dyDescent="0.25">
      <c r="A267" s="114"/>
      <c r="B267" s="975"/>
      <c r="C267" s="975"/>
      <c r="D267" s="975" t="s">
        <v>53</v>
      </c>
      <c r="E267" s="975" t="s">
        <v>53</v>
      </c>
      <c r="F267" s="975"/>
      <c r="G267" s="1689"/>
      <c r="H267" s="1690"/>
      <c r="I267" s="114"/>
      <c r="J267" s="114"/>
      <c r="K267" s="114"/>
      <c r="L267" s="114"/>
      <c r="M267" s="114"/>
      <c r="O267" s="35" t="str">
        <f t="shared" si="14"/>
        <v/>
      </c>
    </row>
    <row r="268" spans="1:15" x14ac:dyDescent="0.25">
      <c r="A268" s="114"/>
      <c r="B268" s="975"/>
      <c r="C268" s="975"/>
      <c r="D268" s="975" t="s">
        <v>53</v>
      </c>
      <c r="E268" s="975" t="s">
        <v>53</v>
      </c>
      <c r="F268" s="975"/>
      <c r="G268" s="1689"/>
      <c r="H268" s="1690"/>
      <c r="I268" s="114"/>
      <c r="J268" s="114"/>
      <c r="K268" s="114"/>
      <c r="L268" s="114"/>
      <c r="M268" s="114"/>
      <c r="O268" s="35" t="str">
        <f t="shared" si="14"/>
        <v/>
      </c>
    </row>
    <row r="269" spans="1:15" x14ac:dyDescent="0.25">
      <c r="A269" s="114"/>
      <c r="B269" s="975"/>
      <c r="C269" s="975"/>
      <c r="D269" s="975" t="s">
        <v>53</v>
      </c>
      <c r="E269" s="975" t="s">
        <v>53</v>
      </c>
      <c r="F269" s="975"/>
      <c r="G269" s="1689"/>
      <c r="H269" s="1690"/>
      <c r="I269" s="114"/>
      <c r="J269" s="114"/>
      <c r="K269" s="114"/>
      <c r="L269" s="114"/>
      <c r="M269" s="114"/>
      <c r="O269" s="35" t="str">
        <f t="shared" si="14"/>
        <v/>
      </c>
    </row>
    <row r="270" spans="1:15" x14ac:dyDescent="0.25">
      <c r="A270" s="114"/>
      <c r="B270" s="1189"/>
      <c r="C270" s="1189"/>
      <c r="D270" s="1189" t="s">
        <v>53</v>
      </c>
      <c r="E270" s="1189" t="s">
        <v>53</v>
      </c>
      <c r="F270" s="1189"/>
      <c r="G270" s="1689"/>
      <c r="H270" s="1690"/>
      <c r="I270" s="114"/>
      <c r="J270" s="114"/>
      <c r="K270" s="114"/>
      <c r="L270" s="114"/>
      <c r="M270" s="114"/>
      <c r="O270" s="35" t="str">
        <f t="shared" ref="O270:O274" si="15">IF(AND(D270&lt;&gt;"Select",D270&lt;&gt;"",E270&lt;&gt;"",E270&lt;&gt;"Select"),IF(F270&lt;=D270+E270,"Yes","No"),"")</f>
        <v/>
      </c>
    </row>
    <row r="271" spans="1:15" x14ac:dyDescent="0.25">
      <c r="A271" s="114"/>
      <c r="B271" s="1189"/>
      <c r="C271" s="1189"/>
      <c r="D271" s="1189" t="s">
        <v>53</v>
      </c>
      <c r="E271" s="1189" t="s">
        <v>53</v>
      </c>
      <c r="F271" s="1189"/>
      <c r="G271" s="1689"/>
      <c r="H271" s="1690"/>
      <c r="I271" s="114"/>
      <c r="J271" s="114"/>
      <c r="K271" s="114"/>
      <c r="L271" s="114"/>
      <c r="M271" s="114"/>
      <c r="O271" s="35" t="str">
        <f t="shared" si="15"/>
        <v/>
      </c>
    </row>
    <row r="272" spans="1:15" x14ac:dyDescent="0.25">
      <c r="A272" s="114"/>
      <c r="B272" s="1189"/>
      <c r="C272" s="1189"/>
      <c r="D272" s="1189" t="s">
        <v>53</v>
      </c>
      <c r="E272" s="1189" t="s">
        <v>53</v>
      </c>
      <c r="F272" s="1189"/>
      <c r="G272" s="1689"/>
      <c r="H272" s="1690"/>
      <c r="I272" s="114"/>
      <c r="J272" s="114"/>
      <c r="K272" s="114"/>
      <c r="L272" s="114"/>
      <c r="M272" s="114"/>
      <c r="O272" s="35" t="str">
        <f t="shared" si="15"/>
        <v/>
      </c>
    </row>
    <row r="273" spans="1:15" x14ac:dyDescent="0.25">
      <c r="A273" s="114"/>
      <c r="B273" s="1189"/>
      <c r="C273" s="1189"/>
      <c r="D273" s="1189" t="s">
        <v>53</v>
      </c>
      <c r="E273" s="1189" t="s">
        <v>53</v>
      </c>
      <c r="F273" s="1189"/>
      <c r="G273" s="1689"/>
      <c r="H273" s="1690"/>
      <c r="I273" s="114"/>
      <c r="J273" s="114"/>
      <c r="K273" s="114"/>
      <c r="L273" s="114"/>
      <c r="M273" s="114"/>
      <c r="O273" s="35" t="str">
        <f t="shared" si="15"/>
        <v/>
      </c>
    </row>
    <row r="274" spans="1:15" x14ac:dyDescent="0.25">
      <c r="A274" s="114"/>
      <c r="B274" s="1189"/>
      <c r="C274" s="1189"/>
      <c r="D274" s="1189" t="s">
        <v>53</v>
      </c>
      <c r="E274" s="1189" t="s">
        <v>53</v>
      </c>
      <c r="F274" s="1189"/>
      <c r="G274" s="1689"/>
      <c r="H274" s="1690"/>
      <c r="I274" s="114"/>
      <c r="J274" s="114"/>
      <c r="K274" s="114"/>
      <c r="L274" s="114"/>
      <c r="M274" s="114"/>
      <c r="O274" s="35" t="str">
        <f t="shared" si="15"/>
        <v/>
      </c>
    </row>
    <row r="275" spans="1:15" x14ac:dyDescent="0.25">
      <c r="A275" s="114"/>
      <c r="B275" s="975"/>
      <c r="C275" s="975"/>
      <c r="D275" s="975" t="s">
        <v>53</v>
      </c>
      <c r="E275" s="975" t="s">
        <v>53</v>
      </c>
      <c r="F275" s="975"/>
      <c r="G275" s="1689"/>
      <c r="H275" s="1690"/>
      <c r="I275" s="114"/>
      <c r="J275" s="114"/>
      <c r="K275" s="114"/>
      <c r="L275" s="114"/>
      <c r="M275" s="114"/>
      <c r="O275" s="35" t="str">
        <f t="shared" si="14"/>
        <v/>
      </c>
    </row>
    <row r="276" spans="1:15" x14ac:dyDescent="0.25">
      <c r="A276" s="114"/>
      <c r="B276" s="975"/>
      <c r="C276" s="975"/>
      <c r="D276" s="975" t="s">
        <v>53</v>
      </c>
      <c r="E276" s="975" t="s">
        <v>53</v>
      </c>
      <c r="F276" s="975"/>
      <c r="G276" s="1689"/>
      <c r="H276" s="1690"/>
      <c r="I276" s="114"/>
      <c r="J276" s="114"/>
      <c r="K276" s="114"/>
      <c r="L276" s="114"/>
      <c r="M276" s="114"/>
      <c r="O276" s="35" t="str">
        <f t="shared" si="14"/>
        <v/>
      </c>
    </row>
    <row r="277" spans="1:15" x14ac:dyDescent="0.25">
      <c r="A277" s="114"/>
      <c r="B277" s="975"/>
      <c r="C277" s="975"/>
      <c r="D277" s="975" t="s">
        <v>53</v>
      </c>
      <c r="E277" s="975" t="s">
        <v>53</v>
      </c>
      <c r="F277" s="975"/>
      <c r="G277" s="1689"/>
      <c r="H277" s="1690"/>
      <c r="I277" s="114"/>
      <c r="J277" s="114"/>
      <c r="K277" s="114"/>
      <c r="L277" s="114"/>
      <c r="M277" s="114"/>
      <c r="O277" s="35" t="str">
        <f t="shared" si="14"/>
        <v/>
      </c>
    </row>
    <row r="278" spans="1:15" x14ac:dyDescent="0.25">
      <c r="A278" s="114"/>
      <c r="B278" s="975"/>
      <c r="C278" s="975"/>
      <c r="D278" s="975" t="s">
        <v>53</v>
      </c>
      <c r="E278" s="975" t="s">
        <v>53</v>
      </c>
      <c r="F278" s="975"/>
      <c r="G278" s="1689"/>
      <c r="H278" s="1690"/>
      <c r="I278" s="114"/>
      <c r="J278" s="114"/>
      <c r="K278" s="114"/>
      <c r="L278" s="114"/>
      <c r="M278" s="114"/>
      <c r="O278" s="35" t="str">
        <f t="shared" si="14"/>
        <v/>
      </c>
    </row>
    <row r="279" spans="1:15" x14ac:dyDescent="0.25">
      <c r="A279" s="114"/>
      <c r="B279" s="975"/>
      <c r="C279" s="975"/>
      <c r="D279" s="975" t="s">
        <v>53</v>
      </c>
      <c r="E279" s="975" t="s">
        <v>53</v>
      </c>
      <c r="F279" s="975"/>
      <c r="G279" s="1689"/>
      <c r="H279" s="1690"/>
      <c r="I279" s="114"/>
      <c r="J279" s="114"/>
      <c r="K279" s="114"/>
      <c r="L279" s="114"/>
      <c r="M279" s="114"/>
      <c r="O279" s="35" t="str">
        <f t="shared" si="14"/>
        <v/>
      </c>
    </row>
    <row r="280" spans="1:15" x14ac:dyDescent="0.25">
      <c r="A280" s="114"/>
      <c r="B280" s="975"/>
      <c r="C280" s="975"/>
      <c r="D280" s="975" t="s">
        <v>53</v>
      </c>
      <c r="E280" s="975" t="s">
        <v>53</v>
      </c>
      <c r="F280" s="975"/>
      <c r="G280" s="1689"/>
      <c r="H280" s="1690"/>
      <c r="I280" s="114"/>
      <c r="J280" s="114"/>
      <c r="K280" s="114"/>
      <c r="L280" s="114"/>
      <c r="M280" s="114"/>
      <c r="O280" s="35" t="str">
        <f t="shared" si="14"/>
        <v/>
      </c>
    </row>
    <row r="281" spans="1:15" x14ac:dyDescent="0.25">
      <c r="A281" s="114"/>
      <c r="B281" s="975"/>
      <c r="C281" s="975"/>
      <c r="D281" s="975" t="s">
        <v>53</v>
      </c>
      <c r="E281" s="975" t="s">
        <v>53</v>
      </c>
      <c r="F281" s="975"/>
      <c r="G281" s="1689"/>
      <c r="H281" s="1690"/>
      <c r="I281" s="114"/>
      <c r="J281" s="114"/>
      <c r="K281" s="114"/>
      <c r="L281" s="114"/>
      <c r="M281" s="114"/>
      <c r="O281" s="35" t="str">
        <f t="shared" si="14"/>
        <v/>
      </c>
    </row>
    <row r="282" spans="1:15" x14ac:dyDescent="0.25">
      <c r="A282" s="114"/>
      <c r="B282" s="975"/>
      <c r="C282" s="975"/>
      <c r="D282" s="975" t="s">
        <v>53</v>
      </c>
      <c r="E282" s="975" t="s">
        <v>53</v>
      </c>
      <c r="F282" s="975"/>
      <c r="G282" s="1689"/>
      <c r="H282" s="1690"/>
      <c r="I282" s="114"/>
      <c r="J282" s="114"/>
      <c r="K282" s="114"/>
      <c r="L282" s="114"/>
      <c r="M282" s="114"/>
      <c r="O282" s="35" t="str">
        <f t="shared" si="14"/>
        <v/>
      </c>
    </row>
    <row r="283" spans="1:15" ht="17.25" customHeight="1" x14ac:dyDescent="0.25">
      <c r="A283" s="114"/>
      <c r="B283" s="114"/>
      <c r="C283" s="114"/>
      <c r="D283" s="114"/>
      <c r="E283" s="114"/>
      <c r="F283" s="114"/>
      <c r="G283" s="114"/>
      <c r="H283" s="114"/>
      <c r="I283" s="114"/>
      <c r="J283" s="114"/>
      <c r="K283" s="114"/>
      <c r="L283" s="114"/>
      <c r="M283" s="114"/>
      <c r="O283" s="35" t="str">
        <f t="shared" si="14"/>
        <v/>
      </c>
    </row>
    <row r="284" spans="1:15" ht="18" customHeight="1" x14ac:dyDescent="0.25">
      <c r="A284" s="114"/>
      <c r="B284" s="2108" t="s">
        <v>1474</v>
      </c>
      <c r="C284" s="2108"/>
      <c r="D284" s="66" t="str">
        <f>IF(AND(COUNTIF(O263:O282,"No")=0,COUNTIF(O263:O282,"Yes")&gt;=1),"Yes","No")</f>
        <v>No</v>
      </c>
      <c r="E284" s="114"/>
      <c r="F284" s="114"/>
      <c r="G284" s="114"/>
      <c r="H284" s="114"/>
      <c r="I284" s="114"/>
      <c r="J284" s="114"/>
      <c r="K284" s="114"/>
      <c r="L284" s="114"/>
      <c r="M284" s="114"/>
    </row>
    <row r="285" spans="1:15" x14ac:dyDescent="0.25">
      <c r="A285" s="114"/>
      <c r="B285" s="114"/>
      <c r="C285" s="114"/>
      <c r="D285" s="114"/>
      <c r="E285" s="114"/>
      <c r="F285" s="114"/>
      <c r="G285" s="114"/>
      <c r="H285" s="114"/>
      <c r="I285" s="114"/>
      <c r="J285" s="114"/>
      <c r="K285" s="114"/>
      <c r="L285" s="114"/>
      <c r="M285" s="114"/>
    </row>
    <row r="286" spans="1:15" ht="16.5" customHeight="1" x14ac:dyDescent="0.25">
      <c r="A286" s="2117" t="s">
        <v>84</v>
      </c>
      <c r="B286" s="2117"/>
      <c r="C286" s="2117"/>
      <c r="D286" s="114"/>
      <c r="E286" s="114"/>
      <c r="F286" s="114"/>
      <c r="G286" s="114"/>
      <c r="H286" s="114"/>
      <c r="I286" s="114"/>
      <c r="J286" s="114"/>
      <c r="K286" s="114"/>
      <c r="L286" s="114"/>
      <c r="M286" s="114"/>
    </row>
    <row r="287" spans="1:15" x14ac:dyDescent="0.25">
      <c r="A287" s="114"/>
      <c r="B287" s="114"/>
      <c r="C287" s="114"/>
      <c r="D287" s="114"/>
      <c r="E287" s="114"/>
      <c r="F287" s="114"/>
      <c r="G287" s="114"/>
      <c r="H287" s="114"/>
      <c r="I287" s="114"/>
      <c r="J287" s="114"/>
      <c r="K287" s="114"/>
      <c r="L287" s="114"/>
      <c r="M287" s="114"/>
    </row>
    <row r="288" spans="1:15" ht="18" customHeight="1" x14ac:dyDescent="0.25">
      <c r="A288" s="114"/>
      <c r="B288" s="2104" t="s">
        <v>1530</v>
      </c>
      <c r="C288" s="2105"/>
      <c r="D288" s="2105"/>
      <c r="E288" s="2105"/>
      <c r="F288" s="2105"/>
      <c r="G288" s="980" t="s">
        <v>907</v>
      </c>
      <c r="H288" s="2106" t="s">
        <v>908</v>
      </c>
      <c r="I288" s="2174"/>
      <c r="J288" s="114"/>
      <c r="K288" s="114"/>
      <c r="L288" s="114"/>
      <c r="M288" s="114"/>
    </row>
    <row r="289" spans="1:16" ht="24" customHeight="1" x14ac:dyDescent="0.25">
      <c r="A289" s="114"/>
      <c r="B289" s="1648" t="str">
        <f>Submittals!G110</f>
        <v>• Noise levels measurements showing compliance with TCXDVN 175:2005</v>
      </c>
      <c r="C289" s="1649"/>
      <c r="D289" s="1649"/>
      <c r="E289" s="1649"/>
      <c r="F289" s="1650"/>
      <c r="G289" s="975" t="s">
        <v>53</v>
      </c>
      <c r="H289" s="1689"/>
      <c r="I289" s="1690"/>
      <c r="J289" s="114"/>
      <c r="K289" s="114"/>
      <c r="L289" s="114"/>
      <c r="M289" s="114"/>
      <c r="N289" s="35" t="str">
        <f>IF(OR(B289="/",B289="No evidence required at this submission stage"),"Yes",IF(G289="Submitted","Yes","No"))</f>
        <v>No</v>
      </c>
    </row>
    <row r="290" spans="1:16" ht="24" hidden="1" customHeight="1" x14ac:dyDescent="0.25">
      <c r="A290" s="45"/>
      <c r="B290" s="1961" t="s">
        <v>985</v>
      </c>
      <c r="C290" s="1962"/>
      <c r="D290" s="1962"/>
      <c r="E290" s="1962"/>
      <c r="F290" s="2291"/>
      <c r="G290" s="975" t="s">
        <v>53</v>
      </c>
      <c r="H290" s="1689"/>
      <c r="I290" s="1690"/>
      <c r="J290" s="114"/>
      <c r="K290" s="114"/>
      <c r="L290" s="114"/>
      <c r="M290" s="114"/>
      <c r="O290" s="35" t="str">
        <f>IF(OR(B290="/",B290="No evidence required at this submission stage"),"Yes",IF(G290="Submitted","Yes","No"))</f>
        <v>No</v>
      </c>
    </row>
    <row r="291" spans="1:16" ht="19.5" customHeight="1" x14ac:dyDescent="0.25">
      <c r="A291" s="114"/>
      <c r="B291" s="114"/>
      <c r="C291" s="114"/>
      <c r="D291" s="114"/>
      <c r="E291" s="114"/>
      <c r="F291" s="114"/>
      <c r="G291" s="114"/>
      <c r="H291" s="114"/>
      <c r="I291" s="114"/>
      <c r="J291" s="114"/>
      <c r="K291" s="114"/>
      <c r="L291" s="114"/>
      <c r="M291" s="114"/>
    </row>
    <row r="292" spans="1:16" ht="16.5" customHeight="1" x14ac:dyDescent="0.25">
      <c r="A292" s="2117" t="s">
        <v>5</v>
      </c>
      <c r="B292" s="2117"/>
      <c r="C292" s="2117"/>
      <c r="D292" s="114"/>
      <c r="E292" s="114"/>
      <c r="F292" s="114"/>
      <c r="G292" s="114"/>
      <c r="H292" s="114"/>
      <c r="I292" s="114"/>
      <c r="J292" s="114"/>
      <c r="K292" s="114"/>
      <c r="L292" s="114"/>
      <c r="M292" s="114"/>
    </row>
    <row r="293" spans="1:16" ht="16.5" customHeight="1" x14ac:dyDescent="0.25">
      <c r="A293" s="114"/>
      <c r="B293" s="114"/>
      <c r="C293" s="114"/>
      <c r="D293" s="114"/>
      <c r="E293" s="114"/>
      <c r="F293" s="114"/>
      <c r="G293" s="114"/>
      <c r="H293" s="114"/>
      <c r="I293" s="114"/>
      <c r="J293" s="114"/>
      <c r="K293" s="114"/>
      <c r="L293" s="114"/>
      <c r="M293" s="114"/>
    </row>
    <row r="294" spans="1:16" ht="16.5" customHeight="1" x14ac:dyDescent="0.25">
      <c r="A294" s="114"/>
      <c r="B294" s="134" t="s">
        <v>16</v>
      </c>
      <c r="C294" s="8" t="str">
        <f>IF(D252="Option A: Internal Noise Levels",IF(D256="Yes",1,0),"")</f>
        <v/>
      </c>
      <c r="D294" s="114"/>
      <c r="E294" s="114"/>
      <c r="F294" s="114"/>
      <c r="G294" s="114"/>
      <c r="H294" s="114"/>
      <c r="I294" s="114"/>
      <c r="J294" s="114"/>
      <c r="K294" s="114"/>
      <c r="L294" s="114"/>
      <c r="M294" s="114"/>
    </row>
    <row r="295" spans="1:16" ht="16.5" customHeight="1" x14ac:dyDescent="0.25">
      <c r="A295" s="114"/>
      <c r="B295" s="135" t="s">
        <v>133</v>
      </c>
      <c r="C295" s="8" t="str">
        <f>IF(D252="Option A: Internal Noise Levels",IF(AND(COUNTIF(N289,"Yes")=1,C294&gt;0),"Yes","No"),"")</f>
        <v/>
      </c>
      <c r="D295" s="114"/>
      <c r="E295" s="114"/>
      <c r="F295" s="114"/>
      <c r="G295" s="114"/>
      <c r="H295" s="114"/>
      <c r="I295" s="114"/>
      <c r="J295" s="114"/>
      <c r="K295" s="114"/>
      <c r="L295" s="114"/>
      <c r="M295" s="114"/>
    </row>
    <row r="296" spans="1:16" ht="17.25" customHeight="1" x14ac:dyDescent="0.25">
      <c r="A296" s="114"/>
      <c r="B296" s="114"/>
      <c r="C296" s="114"/>
      <c r="D296" s="114"/>
      <c r="E296" s="114"/>
      <c r="F296" s="114"/>
      <c r="G296" s="114"/>
      <c r="H296" s="114"/>
      <c r="I296" s="114"/>
      <c r="J296" s="114"/>
      <c r="K296" s="114"/>
      <c r="L296" s="114"/>
      <c r="M296" s="114"/>
    </row>
    <row r="297" spans="1:16" ht="18" customHeight="1" x14ac:dyDescent="0.25">
      <c r="A297" s="2107" t="s">
        <v>978</v>
      </c>
      <c r="B297" s="2107"/>
      <c r="C297" s="2107"/>
      <c r="D297" s="2107"/>
      <c r="E297" s="308"/>
      <c r="F297" s="308"/>
      <c r="G297" s="308"/>
      <c r="H297" s="308"/>
      <c r="I297" s="308"/>
      <c r="J297" s="308"/>
      <c r="K297" s="308"/>
      <c r="L297" s="308"/>
      <c r="M297" s="308"/>
    </row>
    <row r="298" spans="1:16" x14ac:dyDescent="0.25">
      <c r="A298" s="308"/>
      <c r="B298" s="308"/>
      <c r="C298" s="308"/>
      <c r="D298" s="308"/>
      <c r="E298" s="308"/>
      <c r="F298" s="308"/>
      <c r="G298" s="308"/>
      <c r="H298" s="308"/>
      <c r="I298" s="308"/>
      <c r="J298" s="308"/>
      <c r="K298" s="308"/>
      <c r="L298" s="308"/>
      <c r="M298" s="308"/>
    </row>
    <row r="299" spans="1:16" x14ac:dyDescent="0.25">
      <c r="A299" s="2117" t="s">
        <v>102</v>
      </c>
      <c r="B299" s="2117"/>
      <c r="C299" s="2117"/>
      <c r="D299" s="308"/>
      <c r="E299" s="308"/>
      <c r="F299" s="308"/>
      <c r="G299" s="308"/>
      <c r="H299" s="308"/>
      <c r="I299" s="308"/>
      <c r="J299" s="308"/>
      <c r="K299" s="308"/>
      <c r="L299" s="308"/>
      <c r="M299" s="308"/>
    </row>
    <row r="300" spans="1:16" x14ac:dyDescent="0.25">
      <c r="A300" s="308"/>
      <c r="B300" s="308"/>
      <c r="C300" s="308"/>
      <c r="D300" s="308"/>
      <c r="E300" s="308"/>
      <c r="F300" s="308"/>
      <c r="G300" s="308"/>
      <c r="H300" s="308"/>
      <c r="I300" s="308"/>
      <c r="J300" s="308"/>
      <c r="K300" s="308"/>
      <c r="L300" s="308"/>
      <c r="M300" s="308"/>
      <c r="N300" s="308"/>
      <c r="O300" s="45"/>
    </row>
    <row r="301" spans="1:16" x14ac:dyDescent="0.25">
      <c r="A301" s="308"/>
      <c r="B301" s="669" t="s">
        <v>2022</v>
      </c>
      <c r="C301" s="309"/>
      <c r="D301" s="308"/>
      <c r="E301" s="308"/>
      <c r="F301" s="308"/>
      <c r="G301" s="308"/>
      <c r="H301" s="308"/>
      <c r="I301" s="308"/>
      <c r="J301" s="308"/>
      <c r="K301" s="308"/>
      <c r="L301" s="308"/>
      <c r="M301" s="308"/>
      <c r="N301" s="308"/>
      <c r="O301" s="45"/>
    </row>
    <row r="302" spans="1:16" x14ac:dyDescent="0.25">
      <c r="A302" s="308"/>
      <c r="B302" s="308"/>
      <c r="C302" s="308"/>
      <c r="D302" s="308"/>
      <c r="E302" s="308"/>
      <c r="F302" s="308"/>
      <c r="G302" s="308"/>
      <c r="H302" s="308"/>
      <c r="I302" s="308"/>
      <c r="J302" s="308"/>
      <c r="K302" s="308"/>
      <c r="L302" s="308"/>
      <c r="M302" s="308"/>
      <c r="N302" s="308"/>
      <c r="O302" s="45"/>
    </row>
    <row r="303" spans="1:16" x14ac:dyDescent="0.25">
      <c r="A303" s="308"/>
      <c r="B303" s="2297" t="s">
        <v>2021</v>
      </c>
      <c r="C303" s="2297"/>
      <c r="D303" s="2297"/>
      <c r="E303" s="2297"/>
      <c r="F303" s="308"/>
      <c r="G303" s="308"/>
      <c r="H303" s="308"/>
      <c r="I303" s="308"/>
      <c r="J303" s="308"/>
      <c r="K303" s="308"/>
      <c r="L303" s="308"/>
      <c r="M303" s="308"/>
      <c r="N303" s="308"/>
      <c r="O303" s="45"/>
    </row>
    <row r="304" spans="1:16" ht="18" customHeight="1" x14ac:dyDescent="0.25">
      <c r="A304" s="308"/>
      <c r="B304" s="985" t="s">
        <v>632</v>
      </c>
      <c r="C304" s="2127" t="s">
        <v>1367</v>
      </c>
      <c r="D304" s="2127"/>
      <c r="E304" s="983" t="s">
        <v>1368</v>
      </c>
      <c r="F304" s="308"/>
      <c r="G304" s="308"/>
      <c r="H304" s="308"/>
      <c r="I304" s="308"/>
      <c r="J304" s="308"/>
      <c r="K304" s="308"/>
      <c r="L304" s="308"/>
      <c r="M304" s="308"/>
      <c r="N304" s="308"/>
      <c r="O304" s="45"/>
      <c r="P304" s="35" t="s">
        <v>53</v>
      </c>
    </row>
    <row r="305" spans="1:23" ht="32.25" customHeight="1" x14ac:dyDescent="0.25">
      <c r="A305" s="308"/>
      <c r="B305" s="820" t="s">
        <v>1369</v>
      </c>
      <c r="C305" s="2298" t="s">
        <v>1110</v>
      </c>
      <c r="D305" s="2298"/>
      <c r="E305" s="821" t="s">
        <v>1370</v>
      </c>
      <c r="F305" s="308"/>
      <c r="G305" s="308"/>
      <c r="H305" s="308"/>
      <c r="I305" s="308"/>
      <c r="J305" s="308"/>
      <c r="K305" s="308"/>
      <c r="L305" s="308"/>
      <c r="M305" s="308"/>
      <c r="N305" s="308"/>
      <c r="O305" s="45"/>
      <c r="P305" s="35" t="str">
        <f>B305</f>
        <v>Apartment and condominium</v>
      </c>
      <c r="U305" s="35" t="str">
        <f>B305</f>
        <v>Apartment and condominium</v>
      </c>
      <c r="V305" s="822" t="s">
        <v>1369</v>
      </c>
      <c r="W305" s="821">
        <v>0.6</v>
      </c>
    </row>
    <row r="306" spans="1:23" ht="26.25" customHeight="1" x14ac:dyDescent="0.25">
      <c r="A306" s="308"/>
      <c r="B306" s="2290" t="s">
        <v>1371</v>
      </c>
      <c r="C306" s="1888" t="s">
        <v>1372</v>
      </c>
      <c r="D306" s="1888"/>
      <c r="E306" s="979" t="s">
        <v>1370</v>
      </c>
      <c r="F306" s="308"/>
      <c r="G306" s="308"/>
      <c r="H306" s="308"/>
      <c r="I306" s="308"/>
      <c r="J306" s="308"/>
      <c r="K306" s="308"/>
      <c r="L306" s="308"/>
      <c r="M306" s="308"/>
      <c r="N306" s="308"/>
      <c r="O306" s="45"/>
      <c r="P306" s="35" t="str">
        <f>B306</f>
        <v>Hotel/motel</v>
      </c>
      <c r="U306" s="35" t="str">
        <f>B306</f>
        <v>Hotel/motel</v>
      </c>
      <c r="V306" s="822" t="s">
        <v>1372</v>
      </c>
      <c r="W306" s="821">
        <v>0.6</v>
      </c>
    </row>
    <row r="307" spans="1:23" ht="15" customHeight="1" x14ac:dyDescent="0.25">
      <c r="A307" s="308"/>
      <c r="B307" s="2290"/>
      <c r="C307" s="1888" t="s">
        <v>1373</v>
      </c>
      <c r="D307" s="1888"/>
      <c r="E307" s="979" t="s">
        <v>1374</v>
      </c>
      <c r="F307" s="308"/>
      <c r="G307" s="308"/>
      <c r="H307" s="308"/>
      <c r="I307" s="308"/>
      <c r="J307" s="308"/>
      <c r="K307" s="308"/>
      <c r="L307" s="308"/>
      <c r="M307" s="308"/>
      <c r="N307" s="308"/>
      <c r="O307" s="45"/>
      <c r="P307" s="35" t="str">
        <f>B308</f>
        <v>Office building</v>
      </c>
      <c r="U307" s="35" t="s">
        <v>1410</v>
      </c>
      <c r="V307" s="822" t="s">
        <v>1373</v>
      </c>
      <c r="W307" s="979">
        <v>0.8</v>
      </c>
    </row>
    <row r="308" spans="1:23" ht="15" customHeight="1" x14ac:dyDescent="0.25">
      <c r="A308" s="308"/>
      <c r="B308" s="2290" t="s">
        <v>1375</v>
      </c>
      <c r="C308" s="1888" t="s">
        <v>1376</v>
      </c>
      <c r="D308" s="1888"/>
      <c r="E308" s="979" t="s">
        <v>1370</v>
      </c>
      <c r="F308" s="308"/>
      <c r="G308" s="308"/>
      <c r="H308" s="308"/>
      <c r="I308" s="308"/>
      <c r="J308" s="308"/>
      <c r="K308" s="308"/>
      <c r="L308" s="308"/>
      <c r="M308" s="308"/>
      <c r="N308" s="308"/>
      <c r="O308" s="45"/>
      <c r="P308" s="35" t="str">
        <f>B311</f>
        <v>Hospital &amp; Clinic</v>
      </c>
      <c r="U308" s="35" t="str">
        <f>B308</f>
        <v>Office building</v>
      </c>
      <c r="V308" s="822" t="s">
        <v>1376</v>
      </c>
      <c r="W308" s="821">
        <v>0.6</v>
      </c>
    </row>
    <row r="309" spans="1:23" ht="15" customHeight="1" x14ac:dyDescent="0.25">
      <c r="A309" s="308"/>
      <c r="B309" s="2290"/>
      <c r="C309" s="1888" t="s">
        <v>1377</v>
      </c>
      <c r="D309" s="1888"/>
      <c r="E309" s="979" t="s">
        <v>1370</v>
      </c>
      <c r="F309" s="308"/>
      <c r="G309" s="308"/>
      <c r="H309" s="308"/>
      <c r="I309" s="308"/>
      <c r="J309" s="308"/>
      <c r="K309" s="308"/>
      <c r="L309" s="308"/>
      <c r="M309" s="308"/>
      <c r="N309" s="308"/>
      <c r="O309" s="45"/>
      <c r="P309" s="35" t="str">
        <f>B313</f>
        <v>Courtroom</v>
      </c>
      <c r="U309" s="35" t="s">
        <v>1408</v>
      </c>
      <c r="V309" s="822" t="s">
        <v>1377</v>
      </c>
      <c r="W309" s="821">
        <v>0.6</v>
      </c>
    </row>
    <row r="310" spans="1:23" ht="15" customHeight="1" x14ac:dyDescent="0.25">
      <c r="A310" s="308"/>
      <c r="B310" s="2290"/>
      <c r="C310" s="1888" t="s">
        <v>1378</v>
      </c>
      <c r="D310" s="1888"/>
      <c r="E310" s="979" t="s">
        <v>1374</v>
      </c>
      <c r="F310" s="308"/>
      <c r="G310" s="308"/>
      <c r="H310" s="308"/>
      <c r="I310" s="308"/>
      <c r="J310" s="308"/>
      <c r="K310" s="308"/>
      <c r="L310" s="308"/>
      <c r="M310" s="308"/>
      <c r="N310" s="308"/>
      <c r="O310" s="45"/>
      <c r="P310" s="35" t="str">
        <f>B315</f>
        <v>Performing arts space</v>
      </c>
      <c r="U310" s="35" t="s">
        <v>1409</v>
      </c>
      <c r="V310" s="822" t="s">
        <v>1378</v>
      </c>
      <c r="W310" s="979">
        <v>0.8</v>
      </c>
    </row>
    <row r="311" spans="1:23" ht="15" customHeight="1" x14ac:dyDescent="0.25">
      <c r="A311" s="308"/>
      <c r="B311" s="2290" t="s">
        <v>1379</v>
      </c>
      <c r="C311" s="1888" t="s">
        <v>1380</v>
      </c>
      <c r="D311" s="1888"/>
      <c r="E311" s="979" t="s">
        <v>1370</v>
      </c>
      <c r="F311" s="308"/>
      <c r="G311" s="308"/>
      <c r="H311" s="308"/>
      <c r="I311" s="308"/>
      <c r="J311" s="308"/>
      <c r="K311" s="308"/>
      <c r="L311" s="308"/>
      <c r="M311" s="308"/>
      <c r="N311" s="308"/>
      <c r="O311" s="45"/>
      <c r="P311" s="35" t="str">
        <f>B316</f>
        <v>Laboratories</v>
      </c>
      <c r="U311" s="35" t="str">
        <f t="shared" ref="U311:U321" si="16">B311</f>
        <v>Hospital &amp; Clinic</v>
      </c>
      <c r="V311" s="822" t="s">
        <v>1380</v>
      </c>
      <c r="W311" s="821">
        <v>0.6</v>
      </c>
    </row>
    <row r="312" spans="1:23" x14ac:dyDescent="0.25">
      <c r="A312" s="308"/>
      <c r="B312" s="2290"/>
      <c r="C312" s="1888" t="s">
        <v>1381</v>
      </c>
      <c r="D312" s="1888"/>
      <c r="E312" s="979" t="s">
        <v>1370</v>
      </c>
      <c r="F312" s="308"/>
      <c r="G312" s="308"/>
      <c r="H312" s="308"/>
      <c r="I312" s="308"/>
      <c r="J312" s="308"/>
      <c r="K312" s="308"/>
      <c r="L312" s="308"/>
      <c r="M312" s="308"/>
      <c r="N312" s="308"/>
      <c r="O312" s="45"/>
      <c r="P312" s="35" t="str">
        <f>B318</f>
        <v>Library</v>
      </c>
      <c r="U312" s="35" t="s">
        <v>1407</v>
      </c>
      <c r="V312" s="822" t="s">
        <v>1381</v>
      </c>
      <c r="W312" s="821">
        <v>0.6</v>
      </c>
    </row>
    <row r="313" spans="1:23" ht="15" customHeight="1" x14ac:dyDescent="0.25">
      <c r="A313" s="308"/>
      <c r="B313" s="2290" t="s">
        <v>1382</v>
      </c>
      <c r="C313" s="1888" t="s">
        <v>1383</v>
      </c>
      <c r="D313" s="1888"/>
      <c r="E313" s="979" t="s">
        <v>1384</v>
      </c>
      <c r="F313" s="308"/>
      <c r="G313" s="308"/>
      <c r="H313" s="308"/>
      <c r="I313" s="308"/>
      <c r="J313" s="308"/>
      <c r="K313" s="308"/>
      <c r="L313" s="308"/>
      <c r="M313" s="308"/>
      <c r="N313" s="308"/>
      <c r="O313" s="45"/>
      <c r="P313" s="35" t="str">
        <f>B319</f>
        <v>Indoor stadium, gymnasium</v>
      </c>
      <c r="U313" s="35" t="str">
        <f t="shared" si="16"/>
        <v>Courtroom</v>
      </c>
      <c r="V313" s="822" t="s">
        <v>1383</v>
      </c>
      <c r="W313" s="979">
        <v>0.7</v>
      </c>
    </row>
    <row r="314" spans="1:23" ht="15" customHeight="1" x14ac:dyDescent="0.25">
      <c r="A314" s="308"/>
      <c r="B314" s="2290"/>
      <c r="C314" s="1888" t="s">
        <v>1385</v>
      </c>
      <c r="D314" s="1888"/>
      <c r="E314" s="979" t="s">
        <v>1386</v>
      </c>
      <c r="F314" s="308"/>
      <c r="G314" s="308"/>
      <c r="H314" s="308"/>
      <c r="I314" s="308"/>
      <c r="J314" s="308"/>
      <c r="K314" s="308"/>
      <c r="L314" s="308"/>
      <c r="M314" s="308"/>
      <c r="N314" s="308"/>
      <c r="O314" s="45"/>
      <c r="P314" s="35" t="str">
        <f>B321</f>
        <v>School</v>
      </c>
      <c r="U314" s="35" t="s">
        <v>1406</v>
      </c>
      <c r="V314" s="822" t="s">
        <v>1385</v>
      </c>
      <c r="W314" s="979">
        <v>1</v>
      </c>
    </row>
    <row r="315" spans="1:23" ht="25.5" customHeight="1" x14ac:dyDescent="0.25">
      <c r="A315" s="308"/>
      <c r="B315" s="986" t="s">
        <v>1387</v>
      </c>
      <c r="C315" s="1888" t="s">
        <v>1388</v>
      </c>
      <c r="D315" s="1888"/>
      <c r="E315" s="978" t="s">
        <v>1389</v>
      </c>
      <c r="F315" s="308"/>
      <c r="G315" s="308"/>
      <c r="H315" s="308"/>
      <c r="I315" s="308"/>
      <c r="J315" s="308"/>
      <c r="K315" s="308"/>
      <c r="L315" s="308"/>
      <c r="M315" s="308"/>
      <c r="N315" s="308"/>
      <c r="O315" s="45"/>
      <c r="U315" s="35" t="str">
        <f t="shared" si="16"/>
        <v>Performing arts space</v>
      </c>
      <c r="V315" s="822" t="s">
        <v>1388</v>
      </c>
      <c r="W315" s="978" t="s">
        <v>1389</v>
      </c>
    </row>
    <row r="316" spans="1:23" ht="25.5" customHeight="1" x14ac:dyDescent="0.25">
      <c r="A316" s="308"/>
      <c r="B316" s="2290" t="s">
        <v>1390</v>
      </c>
      <c r="C316" s="1888" t="s">
        <v>1391</v>
      </c>
      <c r="D316" s="1888"/>
      <c r="E316" s="979" t="s">
        <v>1386</v>
      </c>
      <c r="F316" s="308"/>
      <c r="G316" s="308"/>
      <c r="H316" s="308"/>
      <c r="I316" s="308"/>
      <c r="J316" s="308"/>
      <c r="K316" s="308"/>
      <c r="L316" s="308"/>
      <c r="M316" s="308"/>
      <c r="N316" s="308"/>
      <c r="O316" s="45"/>
      <c r="U316" s="35" t="str">
        <f t="shared" si="16"/>
        <v>Laboratories</v>
      </c>
      <c r="V316" s="822" t="s">
        <v>1391</v>
      </c>
      <c r="W316" s="979">
        <v>1</v>
      </c>
    </row>
    <row r="317" spans="1:23" ht="25.5" customHeight="1" x14ac:dyDescent="0.25">
      <c r="A317" s="308"/>
      <c r="B317" s="2290"/>
      <c r="C317" s="1888" t="s">
        <v>1392</v>
      </c>
      <c r="D317" s="1888"/>
      <c r="E317" s="979" t="s">
        <v>1370</v>
      </c>
      <c r="F317" s="308"/>
      <c r="G317" s="308"/>
      <c r="H317" s="308"/>
      <c r="I317" s="308"/>
      <c r="J317" s="308"/>
      <c r="K317" s="308"/>
      <c r="L317" s="308"/>
      <c r="M317" s="308"/>
      <c r="N317" s="308"/>
      <c r="O317" s="45"/>
      <c r="U317" s="35" t="s">
        <v>1405</v>
      </c>
      <c r="V317" s="822" t="s">
        <v>1392</v>
      </c>
      <c r="W317" s="821">
        <v>0.6</v>
      </c>
    </row>
    <row r="318" spans="1:23" x14ac:dyDescent="0.25">
      <c r="A318" s="308"/>
      <c r="B318" s="986" t="s">
        <v>1393</v>
      </c>
      <c r="C318" s="1888" t="s">
        <v>1110</v>
      </c>
      <c r="D318" s="1888"/>
      <c r="E318" s="979" t="s">
        <v>1386</v>
      </c>
      <c r="F318" s="308"/>
      <c r="G318" s="308"/>
      <c r="H318" s="308"/>
      <c r="I318" s="308"/>
      <c r="J318" s="308"/>
      <c r="K318" s="308"/>
      <c r="L318" s="308"/>
      <c r="M318" s="308"/>
      <c r="N318" s="308"/>
      <c r="O318" s="45"/>
      <c r="U318" s="35" t="str">
        <f t="shared" si="16"/>
        <v>Library</v>
      </c>
      <c r="V318" s="822" t="s">
        <v>1393</v>
      </c>
      <c r="W318" s="979">
        <v>1</v>
      </c>
    </row>
    <row r="319" spans="1:23" ht="15" customHeight="1" x14ac:dyDescent="0.25">
      <c r="A319" s="308"/>
      <c r="B319" s="2290" t="s">
        <v>1394</v>
      </c>
      <c r="C319" s="1888" t="s">
        <v>1395</v>
      </c>
      <c r="D319" s="1888"/>
      <c r="E319" s="979" t="s">
        <v>1396</v>
      </c>
      <c r="F319" s="308"/>
      <c r="G319" s="308"/>
      <c r="H319" s="308"/>
      <c r="I319" s="308"/>
      <c r="J319" s="308"/>
      <c r="K319" s="308"/>
      <c r="L319" s="308"/>
      <c r="M319" s="308"/>
      <c r="N319" s="308"/>
      <c r="O319" s="45"/>
      <c r="U319" s="35" t="str">
        <f t="shared" si="16"/>
        <v>Indoor stadium, gymnasium</v>
      </c>
      <c r="V319" s="822" t="s">
        <v>1395</v>
      </c>
      <c r="W319" s="979">
        <v>2</v>
      </c>
    </row>
    <row r="320" spans="1:23" ht="25.5" customHeight="1" x14ac:dyDescent="0.25">
      <c r="A320" s="308"/>
      <c r="B320" s="2290"/>
      <c r="C320" s="1888" t="s">
        <v>1397</v>
      </c>
      <c r="D320" s="1888"/>
      <c r="E320" s="979" t="s">
        <v>1398</v>
      </c>
      <c r="F320" s="308"/>
      <c r="G320" s="308"/>
      <c r="H320" s="308"/>
      <c r="I320" s="308"/>
      <c r="J320" s="308"/>
      <c r="K320" s="308"/>
      <c r="L320" s="308"/>
      <c r="M320" s="308"/>
      <c r="N320" s="308"/>
      <c r="O320" s="45"/>
      <c r="U320" s="35" t="s">
        <v>1404</v>
      </c>
      <c r="V320" s="822" t="s">
        <v>1397</v>
      </c>
      <c r="W320" s="979">
        <v>1.5</v>
      </c>
    </row>
    <row r="321" spans="1:23" ht="15" customHeight="1" x14ac:dyDescent="0.25">
      <c r="A321" s="308"/>
      <c r="B321" s="2290" t="s">
        <v>629</v>
      </c>
      <c r="C321" s="1888" t="s">
        <v>1399</v>
      </c>
      <c r="D321" s="1888"/>
      <c r="E321" s="979" t="s">
        <v>1370</v>
      </c>
      <c r="F321" s="308"/>
      <c r="G321" s="308"/>
      <c r="H321" s="308"/>
      <c r="I321" s="308"/>
      <c r="J321" s="308"/>
      <c r="K321" s="308"/>
      <c r="L321" s="308"/>
      <c r="M321" s="308"/>
      <c r="N321" s="308"/>
      <c r="O321" s="45"/>
      <c r="U321" s="35" t="str">
        <f t="shared" si="16"/>
        <v>School</v>
      </c>
      <c r="V321" s="822" t="s">
        <v>1399</v>
      </c>
      <c r="W321" s="821">
        <v>0.6</v>
      </c>
    </row>
    <row r="322" spans="1:23" ht="25.5" customHeight="1" x14ac:dyDescent="0.25">
      <c r="A322" s="308"/>
      <c r="B322" s="2290"/>
      <c r="C322" s="1888" t="s">
        <v>1400</v>
      </c>
      <c r="D322" s="1888"/>
      <c r="E322" s="979" t="s">
        <v>1384</v>
      </c>
      <c r="F322" s="308"/>
      <c r="G322" s="308"/>
      <c r="H322" s="308"/>
      <c r="I322" s="308"/>
      <c r="J322" s="308"/>
      <c r="K322" s="308"/>
      <c r="L322" s="308"/>
      <c r="M322" s="308"/>
      <c r="N322" s="308"/>
      <c r="O322" s="45"/>
      <c r="U322" s="35" t="s">
        <v>1402</v>
      </c>
      <c r="V322" s="822" t="s">
        <v>1400</v>
      </c>
      <c r="W322" s="979">
        <v>0.7</v>
      </c>
    </row>
    <row r="323" spans="1:23" ht="25.5" customHeight="1" x14ac:dyDescent="0.25">
      <c r="A323" s="308"/>
      <c r="B323" s="2290"/>
      <c r="C323" s="1888" t="s">
        <v>1401</v>
      </c>
      <c r="D323" s="1888"/>
      <c r="E323" s="979" t="s">
        <v>1386</v>
      </c>
      <c r="F323" s="308"/>
      <c r="G323" s="308"/>
      <c r="H323" s="308"/>
      <c r="I323" s="308"/>
      <c r="J323" s="308"/>
      <c r="K323" s="308"/>
      <c r="L323" s="308"/>
      <c r="M323" s="308"/>
      <c r="N323" s="308"/>
      <c r="O323" s="45"/>
      <c r="U323" s="35" t="s">
        <v>1403</v>
      </c>
      <c r="V323" s="822" t="s">
        <v>1401</v>
      </c>
      <c r="W323" s="979">
        <v>1</v>
      </c>
    </row>
    <row r="324" spans="1:23" x14ac:dyDescent="0.25">
      <c r="A324" s="308"/>
      <c r="B324" s="308"/>
      <c r="C324" s="308"/>
      <c r="D324" s="308"/>
      <c r="E324" s="308"/>
      <c r="F324" s="308"/>
      <c r="G324" s="308"/>
      <c r="H324" s="308"/>
      <c r="I324" s="308"/>
      <c r="J324" s="308"/>
      <c r="K324" s="308"/>
      <c r="L324" s="308"/>
      <c r="M324" s="308"/>
      <c r="N324" s="308"/>
      <c r="O324" s="45"/>
    </row>
    <row r="325" spans="1:23" ht="15" customHeight="1" x14ac:dyDescent="0.25">
      <c r="A325" s="308"/>
      <c r="B325" s="1137" t="s">
        <v>979</v>
      </c>
      <c r="C325" s="1132"/>
      <c r="D325" s="1132"/>
      <c r="E325" s="1132"/>
      <c r="F325" s="1132"/>
      <c r="G325" s="1132"/>
      <c r="H325" s="1132"/>
      <c r="I325" s="1132"/>
      <c r="J325" s="1132"/>
      <c r="K325" s="1132"/>
      <c r="L325" s="1133"/>
      <c r="M325" s="308"/>
    </row>
    <row r="326" spans="1:23" ht="15" customHeight="1" x14ac:dyDescent="0.25">
      <c r="A326" s="308"/>
      <c r="B326" s="1138" t="s">
        <v>1683</v>
      </c>
      <c r="C326" s="417"/>
      <c r="D326" s="417"/>
      <c r="E326" s="417"/>
      <c r="F326" s="417"/>
      <c r="G326" s="417"/>
      <c r="H326" s="417"/>
      <c r="I326" s="417"/>
      <c r="J326" s="417"/>
      <c r="K326" s="417"/>
      <c r="L326" s="1134"/>
      <c r="M326" s="308"/>
    </row>
    <row r="327" spans="1:23" ht="15" customHeight="1" x14ac:dyDescent="0.25">
      <c r="A327" s="308"/>
      <c r="B327" s="1139" t="s">
        <v>980</v>
      </c>
      <c r="C327" s="1135"/>
      <c r="D327" s="1135"/>
      <c r="E327" s="1135"/>
      <c r="F327" s="1135"/>
      <c r="G327" s="1135"/>
      <c r="H327" s="1135"/>
      <c r="I327" s="1135"/>
      <c r="J327" s="1135"/>
      <c r="K327" s="1135"/>
      <c r="L327" s="1136"/>
      <c r="M327" s="308"/>
    </row>
    <row r="328" spans="1:23" ht="13.5" customHeight="1" x14ac:dyDescent="0.25">
      <c r="A328" s="308"/>
      <c r="B328" s="309"/>
      <c r="C328" s="309"/>
      <c r="D328" s="309"/>
      <c r="E328" s="309"/>
      <c r="F328" s="308"/>
      <c r="G328" s="308"/>
      <c r="H328" s="308"/>
      <c r="I328" s="308"/>
      <c r="J328" s="308"/>
      <c r="K328" s="308"/>
      <c r="L328" s="308"/>
      <c r="M328" s="308"/>
    </row>
    <row r="329" spans="1:23" ht="16.5" customHeight="1" x14ac:dyDescent="0.25">
      <c r="A329" s="308"/>
      <c r="B329" s="670" t="s">
        <v>981</v>
      </c>
      <c r="C329" s="309"/>
      <c r="D329" s="309"/>
      <c r="E329" s="309"/>
      <c r="F329" s="308"/>
      <c r="G329" s="308"/>
      <c r="H329" s="308"/>
      <c r="I329" s="308"/>
      <c r="J329" s="308"/>
      <c r="K329" s="308"/>
      <c r="L329" s="308"/>
      <c r="M329" s="308"/>
    </row>
    <row r="330" spans="1:23" ht="12.75" customHeight="1" x14ac:dyDescent="0.25">
      <c r="A330" s="308"/>
      <c r="B330" s="309"/>
      <c r="C330" s="309"/>
      <c r="D330" s="309"/>
      <c r="E330" s="309"/>
      <c r="F330" s="308"/>
      <c r="G330" s="308"/>
      <c r="H330" s="308"/>
      <c r="I330" s="308"/>
      <c r="J330" s="308"/>
      <c r="K330" s="308"/>
      <c r="L330" s="308"/>
      <c r="M330" s="308"/>
    </row>
    <row r="331" spans="1:23" ht="32.25" customHeight="1" x14ac:dyDescent="0.25">
      <c r="A331" s="308"/>
      <c r="B331" s="987" t="s">
        <v>517</v>
      </c>
      <c r="C331" s="981" t="s">
        <v>632</v>
      </c>
      <c r="D331" s="981" t="s">
        <v>1367</v>
      </c>
      <c r="E331" s="981" t="s">
        <v>982</v>
      </c>
      <c r="F331" s="981" t="s">
        <v>1411</v>
      </c>
      <c r="G331" s="982" t="s">
        <v>77</v>
      </c>
      <c r="H331" s="308"/>
      <c r="I331" s="308"/>
      <c r="J331" s="308"/>
      <c r="K331" s="308"/>
      <c r="L331" s="308"/>
      <c r="M331" s="308"/>
    </row>
    <row r="332" spans="1:23" ht="14.25" customHeight="1" x14ac:dyDescent="0.25">
      <c r="A332" s="308"/>
      <c r="B332" s="975"/>
      <c r="C332" s="975" t="s">
        <v>53</v>
      </c>
      <c r="D332" s="975" t="s">
        <v>53</v>
      </c>
      <c r="E332" s="975"/>
      <c r="F332" s="823" t="str">
        <f>IFERROR(VLOOKUP(D332,$V$248:$W$266,2,FALSE),"")</f>
        <v/>
      </c>
      <c r="G332" s="671" t="str">
        <f>IFERROR(IF(OR(D332="Select",D332=""),"",IF(AND(E332&lt;&gt;"",E332&lt;=F332),"Yes","No")),"")</f>
        <v/>
      </c>
      <c r="H332" s="308"/>
      <c r="I332" s="308"/>
      <c r="J332" s="308"/>
      <c r="K332" s="308"/>
      <c r="L332" s="308"/>
      <c r="M332" s="308"/>
    </row>
    <row r="333" spans="1:23" ht="14.25" customHeight="1" x14ac:dyDescent="0.25">
      <c r="A333" s="308"/>
      <c r="B333" s="975"/>
      <c r="C333" s="975" t="s">
        <v>53</v>
      </c>
      <c r="D333" s="975" t="s">
        <v>53</v>
      </c>
      <c r="E333" s="975"/>
      <c r="F333" s="823" t="str">
        <f t="shared" ref="F333:F351" si="17">IFERROR(VLOOKUP(D333,$V$248:$W$266,2,FALSE),"")</f>
        <v/>
      </c>
      <c r="G333" s="671" t="str">
        <f t="shared" ref="G333:G351" si="18">IFERROR(IF(OR(D333="Select",D333=""),"",IF(AND(E333&lt;&gt;"",E333&lt;=F333),"Yes","No")),"")</f>
        <v/>
      </c>
      <c r="H333" s="308"/>
      <c r="I333" s="308"/>
      <c r="J333" s="308"/>
      <c r="K333" s="308"/>
      <c r="L333" s="308"/>
      <c r="M333" s="308"/>
    </row>
    <row r="334" spans="1:23" ht="14.25" customHeight="1" x14ac:dyDescent="0.25">
      <c r="A334" s="308"/>
      <c r="B334" s="975"/>
      <c r="C334" s="975" t="s">
        <v>53</v>
      </c>
      <c r="D334" s="975" t="s">
        <v>53</v>
      </c>
      <c r="E334" s="975"/>
      <c r="F334" s="823" t="str">
        <f t="shared" si="17"/>
        <v/>
      </c>
      <c r="G334" s="671" t="str">
        <f t="shared" si="18"/>
        <v/>
      </c>
      <c r="H334" s="308"/>
      <c r="I334" s="308"/>
      <c r="J334" s="308"/>
      <c r="K334" s="308"/>
      <c r="L334" s="308"/>
      <c r="M334" s="308"/>
    </row>
    <row r="335" spans="1:23" ht="14.25" customHeight="1" x14ac:dyDescent="0.25">
      <c r="A335" s="308"/>
      <c r="B335" s="975"/>
      <c r="C335" s="975" t="s">
        <v>53</v>
      </c>
      <c r="D335" s="975" t="s">
        <v>53</v>
      </c>
      <c r="E335" s="975"/>
      <c r="F335" s="823" t="str">
        <f t="shared" si="17"/>
        <v/>
      </c>
      <c r="G335" s="671" t="str">
        <f t="shared" si="18"/>
        <v/>
      </c>
      <c r="H335" s="308"/>
      <c r="I335" s="308"/>
      <c r="J335" s="308"/>
      <c r="K335" s="308"/>
      <c r="L335" s="308"/>
      <c r="M335" s="308"/>
    </row>
    <row r="336" spans="1:23" ht="14.25" customHeight="1" x14ac:dyDescent="0.25">
      <c r="A336" s="308"/>
      <c r="B336" s="975"/>
      <c r="C336" s="975" t="s">
        <v>53</v>
      </c>
      <c r="D336" s="975" t="s">
        <v>53</v>
      </c>
      <c r="E336" s="975"/>
      <c r="F336" s="823" t="str">
        <f t="shared" si="17"/>
        <v/>
      </c>
      <c r="G336" s="671" t="str">
        <f t="shared" si="18"/>
        <v/>
      </c>
      <c r="H336" s="308"/>
      <c r="I336" s="308"/>
      <c r="J336" s="308"/>
      <c r="K336" s="308"/>
      <c r="L336" s="308"/>
      <c r="M336" s="308"/>
    </row>
    <row r="337" spans="1:13" ht="14.25" customHeight="1" x14ac:dyDescent="0.25">
      <c r="A337" s="308"/>
      <c r="B337" s="1189"/>
      <c r="C337" s="1189" t="s">
        <v>53</v>
      </c>
      <c r="D337" s="1189" t="s">
        <v>53</v>
      </c>
      <c r="E337" s="1189"/>
      <c r="F337" s="823" t="str">
        <f t="shared" ref="F337:F341" si="19">IFERROR(VLOOKUP(D337,$V$248:$W$266,2,FALSE),"")</f>
        <v/>
      </c>
      <c r="G337" s="671" t="str">
        <f t="shared" ref="G337:G341" si="20">IFERROR(IF(OR(D337="Select",D337=""),"",IF(AND(E337&lt;&gt;"",E337&lt;=F337),"Yes","No")),"")</f>
        <v/>
      </c>
      <c r="H337" s="308"/>
      <c r="I337" s="308"/>
      <c r="J337" s="308"/>
      <c r="K337" s="308"/>
      <c r="L337" s="308"/>
      <c r="M337" s="308"/>
    </row>
    <row r="338" spans="1:13" ht="14.25" customHeight="1" x14ac:dyDescent="0.25">
      <c r="A338" s="308"/>
      <c r="B338" s="1189"/>
      <c r="C338" s="1189" t="s">
        <v>53</v>
      </c>
      <c r="D338" s="1189" t="s">
        <v>53</v>
      </c>
      <c r="E338" s="1189"/>
      <c r="F338" s="823" t="str">
        <f t="shared" si="19"/>
        <v/>
      </c>
      <c r="G338" s="671" t="str">
        <f t="shared" si="20"/>
        <v/>
      </c>
      <c r="H338" s="308"/>
      <c r="I338" s="308"/>
      <c r="J338" s="308"/>
      <c r="K338" s="308"/>
      <c r="L338" s="308"/>
      <c r="M338" s="308"/>
    </row>
    <row r="339" spans="1:13" ht="14.25" customHeight="1" x14ac:dyDescent="0.25">
      <c r="A339" s="308"/>
      <c r="B339" s="1189"/>
      <c r="C339" s="1189" t="s">
        <v>53</v>
      </c>
      <c r="D339" s="1189" t="s">
        <v>53</v>
      </c>
      <c r="E339" s="1189"/>
      <c r="F339" s="823" t="str">
        <f t="shared" si="19"/>
        <v/>
      </c>
      <c r="G339" s="671" t="str">
        <f t="shared" si="20"/>
        <v/>
      </c>
      <c r="H339" s="308"/>
      <c r="I339" s="308"/>
      <c r="J339" s="308"/>
      <c r="K339" s="308"/>
      <c r="L339" s="308"/>
      <c r="M339" s="308"/>
    </row>
    <row r="340" spans="1:13" ht="14.25" customHeight="1" x14ac:dyDescent="0.25">
      <c r="A340" s="308"/>
      <c r="B340" s="1189"/>
      <c r="C340" s="1189" t="s">
        <v>53</v>
      </c>
      <c r="D340" s="1189" t="s">
        <v>53</v>
      </c>
      <c r="E340" s="1189"/>
      <c r="F340" s="823" t="str">
        <f t="shared" si="19"/>
        <v/>
      </c>
      <c r="G340" s="671" t="str">
        <f t="shared" si="20"/>
        <v/>
      </c>
      <c r="H340" s="308"/>
      <c r="I340" s="308"/>
      <c r="J340" s="308"/>
      <c r="K340" s="308"/>
      <c r="L340" s="308"/>
      <c r="M340" s="308"/>
    </row>
    <row r="341" spans="1:13" ht="14.25" customHeight="1" x14ac:dyDescent="0.25">
      <c r="A341" s="308"/>
      <c r="B341" s="1189"/>
      <c r="C341" s="1189" t="s">
        <v>53</v>
      </c>
      <c r="D341" s="1189" t="s">
        <v>53</v>
      </c>
      <c r="E341" s="1189"/>
      <c r="F341" s="823" t="str">
        <f t="shared" si="19"/>
        <v/>
      </c>
      <c r="G341" s="671" t="str">
        <f t="shared" si="20"/>
        <v/>
      </c>
      <c r="H341" s="308"/>
      <c r="I341" s="308"/>
      <c r="J341" s="308"/>
      <c r="K341" s="308"/>
      <c r="L341" s="308"/>
      <c r="M341" s="308"/>
    </row>
    <row r="342" spans="1:13" ht="14.25" customHeight="1" x14ac:dyDescent="0.25">
      <c r="A342" s="308"/>
      <c r="B342" s="975"/>
      <c r="C342" s="975" t="s">
        <v>53</v>
      </c>
      <c r="D342" s="975" t="s">
        <v>53</v>
      </c>
      <c r="E342" s="975"/>
      <c r="F342" s="823" t="str">
        <f t="shared" si="17"/>
        <v/>
      </c>
      <c r="G342" s="671" t="str">
        <f t="shared" si="18"/>
        <v/>
      </c>
      <c r="H342" s="308"/>
      <c r="I342" s="308"/>
      <c r="J342" s="308"/>
      <c r="K342" s="308"/>
      <c r="L342" s="308"/>
      <c r="M342" s="308"/>
    </row>
    <row r="343" spans="1:13" ht="14.25" customHeight="1" x14ac:dyDescent="0.25">
      <c r="A343" s="308"/>
      <c r="B343" s="975"/>
      <c r="C343" s="975" t="s">
        <v>53</v>
      </c>
      <c r="D343" s="975" t="s">
        <v>53</v>
      </c>
      <c r="E343" s="975"/>
      <c r="F343" s="823" t="str">
        <f t="shared" si="17"/>
        <v/>
      </c>
      <c r="G343" s="671" t="str">
        <f t="shared" si="18"/>
        <v/>
      </c>
      <c r="H343" s="308"/>
      <c r="I343" s="308"/>
      <c r="J343" s="308"/>
      <c r="K343" s="308"/>
      <c r="L343" s="308"/>
      <c r="M343" s="308"/>
    </row>
    <row r="344" spans="1:13" ht="14.25" customHeight="1" x14ac:dyDescent="0.25">
      <c r="A344" s="308"/>
      <c r="B344" s="975"/>
      <c r="C344" s="975" t="s">
        <v>53</v>
      </c>
      <c r="D344" s="975" t="s">
        <v>53</v>
      </c>
      <c r="E344" s="975"/>
      <c r="F344" s="823" t="str">
        <f t="shared" si="17"/>
        <v/>
      </c>
      <c r="G344" s="671" t="str">
        <f t="shared" si="18"/>
        <v/>
      </c>
      <c r="H344" s="308"/>
      <c r="I344" s="308"/>
      <c r="J344" s="308"/>
      <c r="K344" s="308"/>
      <c r="L344" s="308"/>
      <c r="M344" s="308"/>
    </row>
    <row r="345" spans="1:13" ht="14.25" customHeight="1" x14ac:dyDescent="0.25">
      <c r="A345" s="308"/>
      <c r="B345" s="975"/>
      <c r="C345" s="975" t="s">
        <v>53</v>
      </c>
      <c r="D345" s="975" t="s">
        <v>53</v>
      </c>
      <c r="E345" s="975"/>
      <c r="F345" s="823" t="str">
        <f t="shared" si="17"/>
        <v/>
      </c>
      <c r="G345" s="671" t="str">
        <f t="shared" si="18"/>
        <v/>
      </c>
      <c r="H345" s="308"/>
      <c r="I345" s="308"/>
      <c r="J345" s="308"/>
      <c r="K345" s="308"/>
      <c r="L345" s="308"/>
      <c r="M345" s="308"/>
    </row>
    <row r="346" spans="1:13" ht="14.25" customHeight="1" x14ac:dyDescent="0.25">
      <c r="A346" s="308"/>
      <c r="B346" s="975"/>
      <c r="C346" s="975" t="s">
        <v>53</v>
      </c>
      <c r="D346" s="975" t="s">
        <v>53</v>
      </c>
      <c r="E346" s="975"/>
      <c r="F346" s="823" t="str">
        <f t="shared" si="17"/>
        <v/>
      </c>
      <c r="G346" s="671" t="str">
        <f t="shared" si="18"/>
        <v/>
      </c>
      <c r="H346" s="308"/>
      <c r="I346" s="308"/>
      <c r="J346" s="308"/>
      <c r="K346" s="308"/>
      <c r="L346" s="308"/>
      <c r="M346" s="308"/>
    </row>
    <row r="347" spans="1:13" ht="14.25" customHeight="1" x14ac:dyDescent="0.25">
      <c r="A347" s="308"/>
      <c r="B347" s="975"/>
      <c r="C347" s="975" t="s">
        <v>53</v>
      </c>
      <c r="D347" s="975" t="s">
        <v>53</v>
      </c>
      <c r="E347" s="975"/>
      <c r="F347" s="823" t="str">
        <f t="shared" si="17"/>
        <v/>
      </c>
      <c r="G347" s="671" t="str">
        <f t="shared" si="18"/>
        <v/>
      </c>
      <c r="H347" s="308"/>
      <c r="I347" s="308"/>
      <c r="J347" s="308"/>
      <c r="K347" s="308"/>
      <c r="L347" s="308"/>
      <c r="M347" s="308"/>
    </row>
    <row r="348" spans="1:13" ht="14.25" customHeight="1" x14ac:dyDescent="0.25">
      <c r="A348" s="308"/>
      <c r="B348" s="975"/>
      <c r="C348" s="975" t="s">
        <v>53</v>
      </c>
      <c r="D348" s="975" t="s">
        <v>53</v>
      </c>
      <c r="E348" s="975"/>
      <c r="F348" s="823" t="str">
        <f t="shared" si="17"/>
        <v/>
      </c>
      <c r="G348" s="671" t="str">
        <f t="shared" si="18"/>
        <v/>
      </c>
      <c r="H348" s="308"/>
      <c r="I348" s="308"/>
      <c r="J348" s="308"/>
      <c r="K348" s="308"/>
      <c r="L348" s="308"/>
      <c r="M348" s="308"/>
    </row>
    <row r="349" spans="1:13" ht="14.25" customHeight="1" x14ac:dyDescent="0.25">
      <c r="A349" s="308"/>
      <c r="B349" s="975"/>
      <c r="C349" s="975" t="s">
        <v>53</v>
      </c>
      <c r="D349" s="975" t="s">
        <v>53</v>
      </c>
      <c r="E349" s="975"/>
      <c r="F349" s="823" t="str">
        <f t="shared" si="17"/>
        <v/>
      </c>
      <c r="G349" s="671" t="str">
        <f t="shared" si="18"/>
        <v/>
      </c>
      <c r="H349" s="308"/>
      <c r="I349" s="308"/>
      <c r="J349" s="308"/>
      <c r="K349" s="308"/>
      <c r="L349" s="308"/>
      <c r="M349" s="308"/>
    </row>
    <row r="350" spans="1:13" ht="14.25" customHeight="1" x14ac:dyDescent="0.25">
      <c r="A350" s="308"/>
      <c r="B350" s="975"/>
      <c r="C350" s="975" t="s">
        <v>53</v>
      </c>
      <c r="D350" s="975" t="s">
        <v>53</v>
      </c>
      <c r="E350" s="975"/>
      <c r="F350" s="823" t="str">
        <f t="shared" si="17"/>
        <v/>
      </c>
      <c r="G350" s="671" t="str">
        <f t="shared" si="18"/>
        <v/>
      </c>
      <c r="H350" s="308"/>
      <c r="I350" s="308"/>
      <c r="J350" s="308"/>
      <c r="K350" s="308"/>
      <c r="L350" s="308"/>
      <c r="M350" s="308"/>
    </row>
    <row r="351" spans="1:13" ht="14.25" customHeight="1" x14ac:dyDescent="0.25">
      <c r="A351" s="308"/>
      <c r="B351" s="975"/>
      <c r="C351" s="975" t="s">
        <v>53</v>
      </c>
      <c r="D351" s="975" t="s">
        <v>53</v>
      </c>
      <c r="E351" s="975"/>
      <c r="F351" s="823" t="str">
        <f t="shared" si="17"/>
        <v/>
      </c>
      <c r="G351" s="671" t="str">
        <f t="shared" si="18"/>
        <v/>
      </c>
      <c r="H351" s="308"/>
      <c r="I351" s="308"/>
      <c r="J351" s="308"/>
      <c r="K351" s="308"/>
      <c r="L351" s="308"/>
      <c r="M351" s="308"/>
    </row>
    <row r="352" spans="1:13" ht="16.5" customHeight="1" x14ac:dyDescent="0.25">
      <c r="A352" s="308"/>
      <c r="B352" s="668"/>
      <c r="C352" s="668"/>
      <c r="D352" s="668"/>
      <c r="E352" s="668"/>
      <c r="F352" s="668"/>
      <c r="G352" s="668"/>
      <c r="H352" s="308"/>
      <c r="I352" s="308"/>
      <c r="J352" s="308"/>
      <c r="K352" s="308"/>
      <c r="L352" s="308"/>
      <c r="M352" s="308"/>
    </row>
    <row r="353" spans="1:14" ht="18" customHeight="1" x14ac:dyDescent="0.25">
      <c r="A353" s="308"/>
      <c r="B353" s="2108" t="s">
        <v>983</v>
      </c>
      <c r="C353" s="2108"/>
      <c r="D353" s="66" t="str">
        <f>IF(AND(COUNTIF(G332:G351,"No")=0,COUNTIF(G332:G351,"Yes")&gt;=1),"Yes","No")</f>
        <v>No</v>
      </c>
      <c r="E353" s="668"/>
      <c r="F353" s="668"/>
      <c r="G353" s="668"/>
      <c r="H353" s="308"/>
      <c r="I353" s="308"/>
      <c r="J353" s="308"/>
      <c r="K353" s="308"/>
      <c r="L353" s="308"/>
      <c r="M353" s="308"/>
    </row>
    <row r="354" spans="1:14" ht="18" customHeight="1" x14ac:dyDescent="0.25">
      <c r="A354" s="308"/>
      <c r="B354" s="308"/>
      <c r="C354" s="308"/>
      <c r="D354" s="308"/>
      <c r="E354" s="308"/>
      <c r="F354" s="308"/>
      <c r="G354" s="308"/>
      <c r="H354" s="308"/>
      <c r="I354" s="308"/>
      <c r="J354" s="308"/>
      <c r="K354" s="308"/>
      <c r="L354" s="308"/>
      <c r="M354" s="308"/>
    </row>
    <row r="355" spans="1:14" ht="16.5" customHeight="1" x14ac:dyDescent="0.25">
      <c r="A355" s="2117" t="s">
        <v>84</v>
      </c>
      <c r="B355" s="2117"/>
      <c r="C355" s="2117"/>
      <c r="D355" s="308"/>
      <c r="E355" s="308"/>
      <c r="F355" s="308"/>
      <c r="G355" s="308"/>
      <c r="H355" s="308"/>
      <c r="I355" s="308"/>
      <c r="J355" s="308"/>
      <c r="K355" s="308"/>
      <c r="L355" s="308"/>
      <c r="M355" s="308"/>
    </row>
    <row r="356" spans="1:14" x14ac:dyDescent="0.25">
      <c r="A356" s="308"/>
      <c r="B356" s="308"/>
      <c r="C356" s="308"/>
      <c r="D356" s="308"/>
      <c r="E356" s="308"/>
      <c r="F356" s="308"/>
      <c r="G356" s="308"/>
      <c r="H356" s="308"/>
      <c r="I356" s="308"/>
      <c r="J356" s="308"/>
      <c r="K356" s="308"/>
      <c r="L356" s="308"/>
      <c r="M356" s="308"/>
    </row>
    <row r="357" spans="1:14" ht="21" customHeight="1" x14ac:dyDescent="0.25">
      <c r="A357" s="308"/>
      <c r="B357" s="2104" t="s">
        <v>1530</v>
      </c>
      <c r="C357" s="2105"/>
      <c r="D357" s="2105"/>
      <c r="E357" s="2105"/>
      <c r="F357" s="2105"/>
      <c r="G357" s="980" t="s">
        <v>907</v>
      </c>
      <c r="H357" s="2106" t="s">
        <v>908</v>
      </c>
      <c r="I357" s="2174"/>
      <c r="J357" s="308"/>
      <c r="K357" s="308"/>
      <c r="L357" s="308"/>
      <c r="M357" s="308"/>
    </row>
    <row r="358" spans="1:14" ht="24" customHeight="1" x14ac:dyDescent="0.25">
      <c r="A358" s="308"/>
      <c r="B358" s="1648" t="str">
        <f>Submittals!G112</f>
        <v>• Results of the calculations of the reverberation time</v>
      </c>
      <c r="C358" s="1649"/>
      <c r="D358" s="1649"/>
      <c r="E358" s="1649"/>
      <c r="F358" s="1650"/>
      <c r="G358" s="975" t="s">
        <v>53</v>
      </c>
      <c r="H358" s="1689"/>
      <c r="I358" s="1690"/>
      <c r="J358" s="308"/>
      <c r="K358" s="308"/>
      <c r="L358" s="308"/>
      <c r="M358" s="308"/>
      <c r="N358" s="35" t="str">
        <f>IF(OR(B358="/",B358="No evidence required at this submission stage"),"Yes",IF(G358="Submitted","Yes","No"))</f>
        <v>No</v>
      </c>
    </row>
    <row r="359" spans="1:14" ht="30" customHeight="1" x14ac:dyDescent="0.25">
      <c r="A359" s="308"/>
      <c r="B359" s="1648" t="str">
        <f>Submittals!G113</f>
        <v>• Evidence showing that the materials used in the calculations were installed such as photographs, invoices, etc.</v>
      </c>
      <c r="C359" s="1649"/>
      <c r="D359" s="1649"/>
      <c r="E359" s="1649"/>
      <c r="F359" s="1650"/>
      <c r="G359" s="975" t="s">
        <v>53</v>
      </c>
      <c r="H359" s="1689"/>
      <c r="I359" s="1690"/>
      <c r="J359" s="308"/>
      <c r="K359" s="308"/>
      <c r="L359" s="308"/>
      <c r="M359" s="308"/>
      <c r="N359" s="35" t="str">
        <f>IF(OR(B359="/",B359="No evidence required at this submission stage"),"Yes",IF(G359="Submitted","Yes","No"))</f>
        <v>No</v>
      </c>
    </row>
    <row r="360" spans="1:14" ht="19.5" customHeight="1" x14ac:dyDescent="0.25">
      <c r="A360" s="308"/>
      <c r="B360" s="308"/>
      <c r="C360" s="308"/>
      <c r="D360" s="308"/>
      <c r="E360" s="308"/>
      <c r="F360" s="308"/>
      <c r="G360" s="308"/>
      <c r="H360" s="308"/>
      <c r="I360" s="308"/>
      <c r="J360" s="308"/>
      <c r="K360" s="308"/>
      <c r="L360" s="308"/>
      <c r="M360" s="308"/>
    </row>
    <row r="361" spans="1:14" ht="16.5" customHeight="1" x14ac:dyDescent="0.25">
      <c r="A361" s="2117" t="s">
        <v>5</v>
      </c>
      <c r="B361" s="2117"/>
      <c r="C361" s="2117"/>
      <c r="D361" s="308"/>
      <c r="E361" s="308"/>
      <c r="F361" s="308"/>
      <c r="G361" s="308"/>
      <c r="H361" s="308"/>
      <c r="I361" s="308"/>
      <c r="J361" s="308"/>
      <c r="K361" s="308"/>
      <c r="L361" s="308"/>
      <c r="M361" s="308"/>
    </row>
    <row r="362" spans="1:14" ht="16.5" customHeight="1" x14ac:dyDescent="0.25">
      <c r="A362" s="308"/>
      <c r="B362" s="308"/>
      <c r="C362" s="308"/>
      <c r="D362" s="308"/>
      <c r="E362" s="308"/>
      <c r="F362" s="308"/>
      <c r="G362" s="308"/>
      <c r="H362" s="308"/>
      <c r="I362" s="308"/>
      <c r="J362" s="308"/>
      <c r="K362" s="308"/>
      <c r="L362" s="308"/>
      <c r="M362" s="308"/>
    </row>
    <row r="363" spans="1:14" ht="16.5" customHeight="1" x14ac:dyDescent="0.25">
      <c r="A363" s="308"/>
      <c r="B363" s="134" t="s">
        <v>16</v>
      </c>
      <c r="C363" s="8" t="str">
        <f>IF(D252="Option B: Reverberation Time",IF(D353="Yes",1,0),"")</f>
        <v/>
      </c>
      <c r="D363" s="308"/>
      <c r="E363" s="308"/>
      <c r="F363" s="308"/>
      <c r="G363" s="308"/>
      <c r="H363" s="308"/>
      <c r="I363" s="308"/>
      <c r="J363" s="308"/>
      <c r="K363" s="308"/>
      <c r="L363" s="308"/>
      <c r="M363" s="308"/>
    </row>
    <row r="364" spans="1:14" ht="16.5" customHeight="1" x14ac:dyDescent="0.25">
      <c r="A364" s="308"/>
      <c r="B364" s="135" t="s">
        <v>133</v>
      </c>
      <c r="C364" s="8" t="str">
        <f>IF(D252="Option B: Reverberation Time",IF(AND(COUNTIF(N358:N359,"Yes")=2,C363&gt;0),"Yes","No"),"")</f>
        <v/>
      </c>
      <c r="D364" s="308"/>
      <c r="E364" s="308"/>
      <c r="F364" s="308"/>
      <c r="G364" s="308"/>
      <c r="H364" s="308"/>
      <c r="I364" s="308"/>
      <c r="J364" s="308"/>
      <c r="K364" s="308"/>
      <c r="L364" s="308"/>
      <c r="M364" s="308"/>
    </row>
    <row r="365" spans="1:14" ht="17.25" customHeight="1" x14ac:dyDescent="0.25">
      <c r="A365" s="308"/>
      <c r="B365" s="308"/>
      <c r="C365" s="308"/>
      <c r="D365" s="308"/>
      <c r="E365" s="308"/>
      <c r="F365" s="308"/>
      <c r="G365" s="308"/>
      <c r="H365" s="308"/>
      <c r="I365" s="308"/>
      <c r="J365" s="308"/>
      <c r="K365" s="308"/>
      <c r="L365" s="308"/>
      <c r="M365" s="308"/>
    </row>
    <row r="366" spans="1:14" ht="18" customHeight="1" x14ac:dyDescent="0.25">
      <c r="A366" s="2107" t="s">
        <v>2379</v>
      </c>
      <c r="B366" s="2107"/>
      <c r="C366" s="2107"/>
      <c r="D366" s="2107"/>
      <c r="E366" s="2107"/>
      <c r="F366" s="2107"/>
      <c r="G366" s="2107"/>
      <c r="H366" s="2107"/>
      <c r="I366" s="2107"/>
      <c r="J366" s="2107"/>
      <c r="K366" s="2107"/>
      <c r="L366" s="2107"/>
      <c r="M366" s="2107"/>
    </row>
    <row r="367" spans="1:14" x14ac:dyDescent="0.25">
      <c r="A367" s="45"/>
      <c r="B367" s="46"/>
      <c r="C367" s="46"/>
      <c r="D367" s="46"/>
      <c r="E367" s="45"/>
      <c r="F367" s="45"/>
      <c r="G367" s="45"/>
      <c r="H367" s="45"/>
      <c r="I367" s="45"/>
      <c r="J367" s="45"/>
      <c r="K367" s="45"/>
      <c r="L367" s="45"/>
      <c r="M367" s="45"/>
    </row>
    <row r="368" spans="1:14" ht="16.5" customHeight="1" x14ac:dyDescent="0.25">
      <c r="A368" s="2117" t="s">
        <v>102</v>
      </c>
      <c r="B368" s="2117"/>
      <c r="C368" s="2117"/>
      <c r="D368" s="46"/>
      <c r="E368" s="45"/>
      <c r="F368" s="45"/>
      <c r="G368" s="45"/>
      <c r="H368" s="45"/>
      <c r="I368" s="45"/>
      <c r="J368" s="45"/>
      <c r="K368" s="45"/>
      <c r="L368" s="45"/>
      <c r="M368" s="45"/>
    </row>
    <row r="369" spans="1:17" x14ac:dyDescent="0.25">
      <c r="A369" s="46"/>
      <c r="B369" s="46"/>
      <c r="C369" s="46"/>
      <c r="D369" s="46"/>
      <c r="E369" s="46"/>
      <c r="F369" s="46"/>
      <c r="G369" s="46"/>
      <c r="H369" s="46"/>
      <c r="I369" s="46"/>
      <c r="J369" s="46"/>
      <c r="K369" s="46"/>
      <c r="L369" s="46"/>
      <c r="M369" s="46"/>
      <c r="N369" s="46"/>
      <c r="O369"/>
      <c r="P369"/>
      <c r="Q369"/>
    </row>
    <row r="370" spans="1:17" ht="16.5" customHeight="1" x14ac:dyDescent="0.25">
      <c r="A370" s="45"/>
      <c r="B370" s="2294" t="s">
        <v>577</v>
      </c>
      <c r="C370" s="2295"/>
      <c r="D370" s="2295"/>
      <c r="E370" s="2295"/>
      <c r="F370" s="2295"/>
      <c r="G370" s="2295"/>
      <c r="H370" s="2295"/>
      <c r="I370" s="2295"/>
      <c r="J370" s="2296"/>
      <c r="K370" s="45"/>
      <c r="L370" s="45"/>
      <c r="M370" s="45"/>
      <c r="N370" s="45"/>
    </row>
    <row r="371" spans="1:17" ht="16.5" customHeight="1" x14ac:dyDescent="0.25">
      <c r="A371" s="45"/>
      <c r="B371" s="1779" t="s">
        <v>594</v>
      </c>
      <c r="C371" s="1780"/>
      <c r="D371" s="1780"/>
      <c r="E371" s="1780"/>
      <c r="F371" s="1780"/>
      <c r="G371" s="1780"/>
      <c r="H371" s="1780"/>
      <c r="I371" s="1780"/>
      <c r="J371" s="1781"/>
      <c r="K371" s="45"/>
      <c r="L371" s="45"/>
      <c r="M371" s="45"/>
      <c r="N371" s="45"/>
    </row>
    <row r="372" spans="1:17" x14ac:dyDescent="0.25">
      <c r="A372" s="45"/>
      <c r="B372" s="46"/>
      <c r="C372" s="46"/>
      <c r="D372" s="46"/>
      <c r="E372" s="46"/>
      <c r="F372" s="45"/>
      <c r="G372" s="45"/>
      <c r="H372" s="45"/>
      <c r="I372" s="45"/>
      <c r="J372" s="45"/>
      <c r="K372" s="45"/>
      <c r="L372" s="45"/>
      <c r="M372" s="45"/>
      <c r="N372" s="45"/>
    </row>
    <row r="373" spans="1:17" x14ac:dyDescent="0.25">
      <c r="A373" s="45"/>
      <c r="B373" s="535" t="s">
        <v>1049</v>
      </c>
      <c r="C373" s="1016"/>
      <c r="D373" s="1016"/>
      <c r="E373" s="1016"/>
      <c r="F373" s="1016"/>
      <c r="G373" s="1016"/>
      <c r="H373" s="1016"/>
      <c r="I373" s="1016"/>
      <c r="J373" s="1016"/>
      <c r="K373" s="45"/>
      <c r="L373" s="45"/>
      <c r="M373" s="45"/>
      <c r="N373" s="45"/>
    </row>
    <row r="374" spans="1:17" ht="13.5" customHeight="1" x14ac:dyDescent="0.25">
      <c r="A374" s="45"/>
      <c r="B374" s="535"/>
      <c r="C374" s="1016"/>
      <c r="D374" s="1016"/>
      <c r="E374" s="1016"/>
      <c r="F374" s="1016"/>
      <c r="G374" s="1016"/>
      <c r="H374" s="1016"/>
      <c r="I374" s="1016"/>
      <c r="J374" s="1016"/>
      <c r="K374" s="45"/>
      <c r="L374" s="45"/>
      <c r="M374" s="45"/>
      <c r="N374" s="45"/>
    </row>
    <row r="375" spans="1:17" ht="16.5" customHeight="1" x14ac:dyDescent="0.25">
      <c r="A375" s="45"/>
      <c r="B375" s="2175" t="s">
        <v>100</v>
      </c>
      <c r="C375" s="2175"/>
      <c r="D375" s="991"/>
      <c r="E375" s="445"/>
      <c r="F375" s="445"/>
      <c r="G375" s="445"/>
      <c r="H375" s="445"/>
      <c r="I375" s="445"/>
      <c r="J375" s="445"/>
      <c r="K375" s="45"/>
      <c r="L375" s="45"/>
      <c r="M375" s="45"/>
      <c r="N375" s="45"/>
    </row>
    <row r="376" spans="1:17" ht="16.5" customHeight="1" x14ac:dyDescent="0.25">
      <c r="A376" s="45"/>
      <c r="B376" s="2175" t="s">
        <v>578</v>
      </c>
      <c r="C376" s="2175"/>
      <c r="D376" s="991"/>
      <c r="E376" s="1016"/>
      <c r="F376" s="1016"/>
      <c r="G376" s="1016"/>
      <c r="H376" s="1016"/>
      <c r="I376" s="1016"/>
      <c r="J376" s="1016"/>
      <c r="K376" s="45"/>
      <c r="L376" s="45"/>
      <c r="M376" s="45"/>
      <c r="N376" s="45"/>
    </row>
    <row r="377" spans="1:17" ht="15" customHeight="1" x14ac:dyDescent="0.25">
      <c r="A377" s="45"/>
      <c r="B377" s="270"/>
      <c r="C377" s="1016"/>
      <c r="D377" s="1016"/>
      <c r="E377" s="1016"/>
      <c r="F377" s="1016"/>
      <c r="G377" s="1016"/>
      <c r="H377" s="1016"/>
      <c r="I377" s="1016"/>
      <c r="J377" s="1016"/>
      <c r="K377" s="45"/>
      <c r="L377" s="45"/>
      <c r="M377" s="45"/>
      <c r="N377" s="45"/>
    </row>
    <row r="378" spans="1:17" ht="15" customHeight="1" x14ac:dyDescent="0.25">
      <c r="A378" s="45"/>
      <c r="B378" s="692" t="s">
        <v>597</v>
      </c>
      <c r="C378" s="1016"/>
      <c r="D378" s="1016"/>
      <c r="E378" s="1016"/>
      <c r="F378" s="1016"/>
      <c r="G378" s="1016"/>
      <c r="H378" s="1016"/>
      <c r="I378" s="1016"/>
      <c r="J378" s="1016"/>
      <c r="K378" s="45"/>
      <c r="L378" s="45"/>
      <c r="M378" s="45"/>
      <c r="N378" s="45"/>
    </row>
    <row r="379" spans="1:17" ht="12" customHeight="1" x14ac:dyDescent="0.25">
      <c r="A379" s="45"/>
      <c r="B379" s="692"/>
      <c r="C379" s="1016"/>
      <c r="D379" s="1016"/>
      <c r="E379" s="1016"/>
      <c r="F379" s="1016"/>
      <c r="G379" s="1016"/>
      <c r="H379" s="1016"/>
      <c r="I379" s="1016"/>
      <c r="J379" s="1016"/>
      <c r="K379" s="45"/>
      <c r="L379" s="45"/>
      <c r="M379" s="45"/>
      <c r="N379" s="45"/>
    </row>
    <row r="380" spans="1:17" ht="25.5" x14ac:dyDescent="0.25">
      <c r="A380" s="45"/>
      <c r="B380" s="1015" t="s">
        <v>584</v>
      </c>
      <c r="C380" s="1006" t="s">
        <v>579</v>
      </c>
      <c r="D380" s="1006" t="s">
        <v>580</v>
      </c>
      <c r="E380" s="1006" t="s">
        <v>581</v>
      </c>
      <c r="F380" s="1006" t="s">
        <v>582</v>
      </c>
      <c r="G380" s="1006" t="s">
        <v>583</v>
      </c>
      <c r="H380" s="693" t="s">
        <v>1050</v>
      </c>
      <c r="I380" s="1016"/>
      <c r="J380" s="1016"/>
      <c r="K380" s="45"/>
      <c r="L380" s="45"/>
      <c r="M380" s="45"/>
      <c r="N380" s="45"/>
    </row>
    <row r="381" spans="1:17" ht="15" customHeight="1" x14ac:dyDescent="0.25">
      <c r="A381" s="45"/>
      <c r="B381" s="2292" t="s">
        <v>585</v>
      </c>
      <c r="C381" s="2293"/>
      <c r="D381" s="2293"/>
      <c r="E381" s="2293"/>
      <c r="F381" s="2293"/>
      <c r="G381" s="2293"/>
      <c r="H381" s="2293"/>
      <c r="I381" s="1016"/>
      <c r="J381" s="1016"/>
      <c r="K381" s="45"/>
      <c r="L381" s="45"/>
      <c r="M381" s="45"/>
      <c r="N381" s="45"/>
    </row>
    <row r="382" spans="1:17" ht="15" customHeight="1" x14ac:dyDescent="0.25">
      <c r="A382" s="45"/>
      <c r="B382" s="446" t="s">
        <v>586</v>
      </c>
      <c r="C382" s="991"/>
      <c r="D382" s="991"/>
      <c r="E382" s="991"/>
      <c r="F382" s="991"/>
      <c r="G382" s="991"/>
      <c r="H382" s="694" t="str">
        <f>IFERROR((C382*1+D382*2+E382*3+F382*4+G382*5)/SUM(C382:G382),"")</f>
        <v/>
      </c>
      <c r="I382" s="1016"/>
      <c r="J382" s="1016"/>
      <c r="K382" s="45"/>
      <c r="L382" s="45"/>
      <c r="M382" s="45"/>
      <c r="N382" s="45"/>
      <c r="O382" s="696" t="str">
        <f>H382</f>
        <v/>
      </c>
    </row>
    <row r="383" spans="1:17" ht="15" customHeight="1" x14ac:dyDescent="0.25">
      <c r="A383" s="45"/>
      <c r="B383" s="446" t="s">
        <v>587</v>
      </c>
      <c r="C383" s="991"/>
      <c r="D383" s="991"/>
      <c r="E383" s="991"/>
      <c r="F383" s="991"/>
      <c r="G383" s="991"/>
      <c r="H383" s="694" t="str">
        <f t="shared" ref="H383:H384" si="21">IFERROR((C383*1+D383*2+E383*3+F383*4+G383*5)/SUM(C383:G383),"")</f>
        <v/>
      </c>
      <c r="I383" s="1016"/>
      <c r="J383" s="1016"/>
      <c r="K383" s="45"/>
      <c r="L383" s="45"/>
      <c r="M383" s="45"/>
      <c r="N383" s="45"/>
      <c r="O383" s="696" t="str">
        <f t="shared" ref="O383:O396" si="22">H383</f>
        <v/>
      </c>
    </row>
    <row r="384" spans="1:17" ht="15" customHeight="1" x14ac:dyDescent="0.25">
      <c r="A384" s="45"/>
      <c r="B384" s="446" t="s">
        <v>588</v>
      </c>
      <c r="C384" s="991"/>
      <c r="D384" s="991"/>
      <c r="E384" s="991"/>
      <c r="F384" s="991"/>
      <c r="G384" s="991"/>
      <c r="H384" s="694" t="str">
        <f t="shared" si="21"/>
        <v/>
      </c>
      <c r="I384" s="1016"/>
      <c r="J384" s="1016"/>
      <c r="K384" s="45"/>
      <c r="L384" s="45"/>
      <c r="M384" s="45"/>
      <c r="N384" s="45"/>
      <c r="O384" s="696" t="str">
        <f t="shared" si="22"/>
        <v/>
      </c>
    </row>
    <row r="385" spans="1:15" ht="15" customHeight="1" x14ac:dyDescent="0.25">
      <c r="A385" s="45"/>
      <c r="B385" s="2292" t="s">
        <v>733</v>
      </c>
      <c r="C385" s="2293"/>
      <c r="D385" s="2293"/>
      <c r="E385" s="2293"/>
      <c r="F385" s="2293"/>
      <c r="G385" s="2293"/>
      <c r="H385" s="2293"/>
      <c r="I385" s="1016"/>
      <c r="J385" s="1016"/>
      <c r="K385" s="45"/>
      <c r="L385" s="45"/>
      <c r="M385" s="45"/>
      <c r="N385" s="45"/>
      <c r="O385" s="696"/>
    </row>
    <row r="386" spans="1:15" ht="15" customHeight="1" x14ac:dyDescent="0.25">
      <c r="A386" s="45"/>
      <c r="B386" s="446" t="s">
        <v>589</v>
      </c>
      <c r="C386" s="991"/>
      <c r="D386" s="991"/>
      <c r="E386" s="991"/>
      <c r="F386" s="991"/>
      <c r="G386" s="991"/>
      <c r="H386" s="694" t="str">
        <f>IFERROR((C386*1+D386*2+E386*3+F386*4+G386*5)/SUM(C386:G386),"")</f>
        <v/>
      </c>
      <c r="I386" s="1016"/>
      <c r="J386" s="1016"/>
      <c r="K386" s="45"/>
      <c r="L386" s="45"/>
      <c r="M386" s="45"/>
      <c r="N386" s="45"/>
      <c r="O386" s="696" t="str">
        <f t="shared" si="22"/>
        <v/>
      </c>
    </row>
    <row r="387" spans="1:15" ht="15" customHeight="1" x14ac:dyDescent="0.25">
      <c r="A387" s="45"/>
      <c r="B387" s="446" t="s">
        <v>734</v>
      </c>
      <c r="C387" s="991"/>
      <c r="D387" s="991"/>
      <c r="E387" s="991"/>
      <c r="F387" s="991"/>
      <c r="G387" s="991"/>
      <c r="H387" s="694" t="str">
        <f t="shared" ref="H387" si="23">IFERROR((C387*1+D387*2+E387*3+F387*4+G387*5)/SUM(C387:G387),"")</f>
        <v/>
      </c>
      <c r="I387" s="1016"/>
      <c r="J387" s="1016"/>
      <c r="K387" s="45"/>
      <c r="L387" s="45"/>
      <c r="M387" s="45"/>
      <c r="N387" s="45"/>
      <c r="O387" s="696" t="str">
        <f t="shared" si="22"/>
        <v/>
      </c>
    </row>
    <row r="388" spans="1:15" ht="15" customHeight="1" x14ac:dyDescent="0.25">
      <c r="A388" s="45"/>
      <c r="B388" s="2292" t="s">
        <v>593</v>
      </c>
      <c r="C388" s="2293"/>
      <c r="D388" s="2293"/>
      <c r="E388" s="2293"/>
      <c r="F388" s="2293"/>
      <c r="G388" s="2293"/>
      <c r="H388" s="2293"/>
      <c r="I388" s="1016"/>
      <c r="J388" s="1016"/>
      <c r="K388" s="45"/>
      <c r="L388" s="45"/>
      <c r="M388" s="45"/>
      <c r="N388" s="45"/>
      <c r="O388" s="696"/>
    </row>
    <row r="389" spans="1:15" ht="15" customHeight="1" x14ac:dyDescent="0.25">
      <c r="A389" s="45"/>
      <c r="B389" s="446" t="s">
        <v>599</v>
      </c>
      <c r="C389" s="991"/>
      <c r="D389" s="991"/>
      <c r="E389" s="991"/>
      <c r="F389" s="991"/>
      <c r="G389" s="991"/>
      <c r="H389" s="694" t="str">
        <f>IFERROR((C389*1+D389*2+E389*3+F389*4+G389*5)/SUM(C389:G389),"")</f>
        <v/>
      </c>
      <c r="I389" s="1016"/>
      <c r="J389" s="1016"/>
      <c r="K389" s="45"/>
      <c r="L389" s="45"/>
      <c r="M389" s="45"/>
      <c r="N389" s="45"/>
      <c r="O389" s="696" t="str">
        <f t="shared" si="22"/>
        <v/>
      </c>
    </row>
    <row r="390" spans="1:15" ht="15" customHeight="1" x14ac:dyDescent="0.25">
      <c r="A390" s="45"/>
      <c r="B390" s="446" t="s">
        <v>600</v>
      </c>
      <c r="C390" s="991"/>
      <c r="D390" s="991"/>
      <c r="E390" s="991"/>
      <c r="F390" s="991"/>
      <c r="G390" s="991"/>
      <c r="H390" s="694" t="str">
        <f>IFERROR((C390*1+D390*2+E390*3+F390*4+G390*5)/SUM(C390:G390),"")</f>
        <v/>
      </c>
      <c r="I390" s="1016"/>
      <c r="J390" s="1016"/>
      <c r="K390" s="45"/>
      <c r="L390" s="45"/>
      <c r="M390" s="45"/>
      <c r="N390" s="45"/>
      <c r="O390" s="696" t="str">
        <f t="shared" si="22"/>
        <v/>
      </c>
    </row>
    <row r="391" spans="1:15" ht="15" customHeight="1" x14ac:dyDescent="0.25">
      <c r="A391" s="45"/>
      <c r="B391" s="446" t="s">
        <v>34</v>
      </c>
      <c r="C391" s="991"/>
      <c r="D391" s="991"/>
      <c r="E391" s="991"/>
      <c r="F391" s="991"/>
      <c r="G391" s="991"/>
      <c r="H391" s="694" t="str">
        <f t="shared" ref="H391" si="24">IFERROR((C391*1+D391*2+E391*3+F391*4+G391*5)/SUM(C391:G391),"")</f>
        <v/>
      </c>
      <c r="I391" s="1016"/>
      <c r="J391" s="1016"/>
      <c r="K391" s="45"/>
      <c r="L391" s="45"/>
      <c r="M391" s="45"/>
      <c r="N391" s="45"/>
      <c r="O391" s="696" t="str">
        <f t="shared" si="22"/>
        <v/>
      </c>
    </row>
    <row r="392" spans="1:15" ht="15" customHeight="1" x14ac:dyDescent="0.25">
      <c r="A392" s="45"/>
      <c r="B392" s="2292" t="s">
        <v>206</v>
      </c>
      <c r="C392" s="2293"/>
      <c r="D392" s="2293"/>
      <c r="E392" s="2293"/>
      <c r="F392" s="2293"/>
      <c r="G392" s="2293"/>
      <c r="H392" s="2293"/>
      <c r="I392" s="1016"/>
      <c r="J392" s="1016"/>
      <c r="K392" s="45"/>
      <c r="L392" s="45"/>
      <c r="M392" s="45"/>
      <c r="N392" s="45"/>
      <c r="O392" s="696"/>
    </row>
    <row r="393" spans="1:15" ht="15" customHeight="1" x14ac:dyDescent="0.25">
      <c r="A393" s="45"/>
      <c r="B393" s="446" t="s">
        <v>590</v>
      </c>
      <c r="C393" s="991"/>
      <c r="D393" s="991"/>
      <c r="E393" s="991"/>
      <c r="F393" s="991"/>
      <c r="G393" s="991"/>
      <c r="H393" s="694" t="str">
        <f>IFERROR((C393*1+D393*2+E393*3+F393*4+G393*5)/SUM(C393:G393),"")</f>
        <v/>
      </c>
      <c r="I393" s="1016"/>
      <c r="J393" s="1016"/>
      <c r="K393" s="45"/>
      <c r="L393" s="45"/>
      <c r="M393" s="45"/>
      <c r="N393" s="45"/>
      <c r="O393" s="696" t="str">
        <f t="shared" si="22"/>
        <v/>
      </c>
    </row>
    <row r="394" spans="1:15" ht="15" customHeight="1" x14ac:dyDescent="0.25">
      <c r="A394" s="45"/>
      <c r="B394" s="446" t="s">
        <v>591</v>
      </c>
      <c r="C394" s="991"/>
      <c r="D394" s="991"/>
      <c r="E394" s="991"/>
      <c r="F394" s="991"/>
      <c r="G394" s="991"/>
      <c r="H394" s="694" t="str">
        <f>IFERROR((C394*1+D394*2+E394*3+F394*4+G394*5)/SUM(C394:G394),"")</f>
        <v/>
      </c>
      <c r="I394" s="1016"/>
      <c r="J394" s="1016"/>
      <c r="K394" s="45"/>
      <c r="L394" s="45"/>
      <c r="M394" s="45"/>
      <c r="N394" s="45"/>
      <c r="O394" s="696" t="str">
        <f t="shared" si="22"/>
        <v/>
      </c>
    </row>
    <row r="395" spans="1:15" ht="15" customHeight="1" x14ac:dyDescent="0.25">
      <c r="A395" s="45"/>
      <c r="B395" s="2292" t="s">
        <v>592</v>
      </c>
      <c r="C395" s="2293"/>
      <c r="D395" s="2293"/>
      <c r="E395" s="2293"/>
      <c r="F395" s="2293"/>
      <c r="G395" s="2293"/>
      <c r="H395" s="2293"/>
      <c r="I395" s="1016"/>
      <c r="J395" s="1016"/>
      <c r="K395" s="45"/>
      <c r="L395" s="45"/>
      <c r="M395" s="45"/>
      <c r="N395" s="45"/>
      <c r="O395" s="696"/>
    </row>
    <row r="396" spans="1:15" ht="15" customHeight="1" x14ac:dyDescent="0.25">
      <c r="A396" s="45"/>
      <c r="B396" s="446" t="s">
        <v>592</v>
      </c>
      <c r="C396" s="991"/>
      <c r="D396" s="991"/>
      <c r="E396" s="991"/>
      <c r="F396" s="991"/>
      <c r="G396" s="991"/>
      <c r="H396" s="694" t="str">
        <f>IFERROR((C396*1+D396*2+E396*3+F396*4+G396*5)/SUM(C396:G396),"")</f>
        <v/>
      </c>
      <c r="I396" s="1016"/>
      <c r="J396" s="1016"/>
      <c r="K396" s="45"/>
      <c r="L396" s="45"/>
      <c r="M396" s="45"/>
      <c r="N396" s="45"/>
      <c r="O396" s="696" t="str">
        <f t="shared" si="22"/>
        <v/>
      </c>
    </row>
    <row r="397" spans="1:15" ht="18" customHeight="1" x14ac:dyDescent="0.25">
      <c r="A397" s="45"/>
      <c r="B397" s="447" t="s">
        <v>25</v>
      </c>
      <c r="C397" s="448">
        <f>SUM(C382:C384,C386,C389:C390,C393:C394,C396)</f>
        <v>0</v>
      </c>
      <c r="D397" s="448">
        <f>SUM(D382:D384,D386,D389:D390,D393:D394,D396)</f>
        <v>0</v>
      </c>
      <c r="E397" s="448">
        <f>SUM(E382:E384,E386,E389:E390,E393:E394,E396)</f>
        <v>0</v>
      </c>
      <c r="F397" s="448">
        <f>SUM(F382:F384,F386,F389:F390,F393:F394,F396)</f>
        <v>0</v>
      </c>
      <c r="G397" s="448">
        <f>SUM(G382:G384,G386,G389:G390,G393:G394,G396)</f>
        <v>0</v>
      </c>
      <c r="H397" s="695" t="str">
        <f>IFERROR((C397*1+D397*2+E397*3+F397*4+G397*5)/SUM(C397:G397),"")</f>
        <v/>
      </c>
      <c r="I397" s="1016"/>
      <c r="J397" s="1016"/>
      <c r="K397" s="45"/>
      <c r="L397" s="45"/>
      <c r="M397" s="45"/>
      <c r="N397" s="45"/>
    </row>
    <row r="398" spans="1:15" x14ac:dyDescent="0.25">
      <c r="A398" s="45"/>
      <c r="B398" s="46"/>
      <c r="C398" s="46"/>
      <c r="D398" s="46"/>
      <c r="E398" s="46"/>
      <c r="F398" s="45"/>
      <c r="G398" s="45"/>
      <c r="H398" s="45"/>
      <c r="I398" s="45"/>
      <c r="J398" s="45"/>
      <c r="K398" s="45"/>
      <c r="L398" s="45"/>
      <c r="M398" s="45"/>
      <c r="N398" s="45"/>
    </row>
    <row r="399" spans="1:15" ht="18" customHeight="1" x14ac:dyDescent="0.25">
      <c r="A399" s="45"/>
      <c r="B399" s="2124" t="s">
        <v>596</v>
      </c>
      <c r="C399" s="2126"/>
      <c r="D399" s="160" t="str">
        <f>IFERROR((C397*1+D397*2+E397*3+F397*4+G397*5)/SUM(C397:G397),"")</f>
        <v/>
      </c>
      <c r="E399" s="46"/>
      <c r="F399" s="45"/>
      <c r="G399" s="45"/>
      <c r="H399" s="45"/>
      <c r="I399" s="45"/>
      <c r="J399" s="45"/>
      <c r="K399" s="45"/>
      <c r="L399" s="45"/>
      <c r="M399" s="45"/>
      <c r="N399" s="45"/>
    </row>
    <row r="400" spans="1:15" ht="12.75" customHeight="1" x14ac:dyDescent="0.25">
      <c r="A400" s="45"/>
      <c r="B400" s="46"/>
      <c r="C400" s="46"/>
      <c r="D400" s="46"/>
      <c r="E400" s="46"/>
      <c r="F400" s="45"/>
      <c r="G400" s="45"/>
      <c r="H400" s="45"/>
      <c r="I400" s="45"/>
      <c r="J400" s="45"/>
      <c r="K400" s="45"/>
      <c r="L400" s="45"/>
      <c r="M400" s="45"/>
      <c r="N400" s="45"/>
    </row>
    <row r="401" spans="1:14" ht="12.75" customHeight="1" x14ac:dyDescent="0.25">
      <c r="A401" s="45"/>
      <c r="B401" s="46"/>
      <c r="C401" s="46"/>
      <c r="D401" s="46"/>
      <c r="E401" s="46"/>
      <c r="F401" s="45"/>
      <c r="G401" s="45"/>
      <c r="H401" s="45"/>
      <c r="I401" s="45"/>
      <c r="J401" s="45"/>
      <c r="K401" s="45"/>
      <c r="L401" s="45"/>
      <c r="M401" s="45"/>
      <c r="N401" s="45"/>
    </row>
    <row r="402" spans="1:14" x14ac:dyDescent="0.25">
      <c r="A402" s="45"/>
      <c r="B402" s="1012" t="s">
        <v>598</v>
      </c>
      <c r="C402" s="46"/>
      <c r="D402" s="46"/>
      <c r="E402" s="46"/>
      <c r="F402" s="45"/>
      <c r="G402" s="45"/>
      <c r="H402" s="45"/>
      <c r="I402" s="45"/>
      <c r="J402" s="45"/>
      <c r="K402" s="45"/>
      <c r="L402" s="45"/>
      <c r="M402" s="45"/>
      <c r="N402" s="45"/>
    </row>
    <row r="403" spans="1:14" x14ac:dyDescent="0.25">
      <c r="A403" s="45"/>
      <c r="B403" s="46"/>
      <c r="C403" s="46"/>
      <c r="D403" s="46"/>
      <c r="E403" s="46"/>
      <c r="F403" s="45"/>
      <c r="G403" s="45"/>
      <c r="H403" s="45"/>
      <c r="I403" s="45"/>
      <c r="J403" s="45"/>
      <c r="K403" s="45"/>
      <c r="L403" s="45"/>
      <c r="M403" s="45"/>
      <c r="N403" s="45"/>
    </row>
    <row r="404" spans="1:14" x14ac:dyDescent="0.25">
      <c r="A404" s="45"/>
      <c r="B404" s="692" t="s">
        <v>1053</v>
      </c>
      <c r="C404" s="46"/>
      <c r="D404" s="46"/>
      <c r="E404" s="46"/>
      <c r="F404" s="45"/>
      <c r="G404" s="45"/>
      <c r="H404" s="45"/>
      <c r="I404" s="45"/>
      <c r="J404" s="45"/>
      <c r="K404" s="45"/>
      <c r="L404" s="45"/>
      <c r="M404" s="45"/>
      <c r="N404" s="45"/>
    </row>
    <row r="405" spans="1:14" ht="12" customHeight="1" x14ac:dyDescent="0.25">
      <c r="A405" s="45"/>
      <c r="B405" s="46"/>
      <c r="C405" s="46"/>
      <c r="D405" s="46"/>
      <c r="E405" s="46"/>
      <c r="F405" s="45"/>
      <c r="G405" s="45"/>
      <c r="H405" s="45"/>
      <c r="I405" s="45"/>
      <c r="J405" s="45"/>
      <c r="K405" s="45"/>
      <c r="L405" s="45"/>
      <c r="M405" s="45"/>
    </row>
    <row r="406" spans="1:14" ht="18" customHeight="1" x14ac:dyDescent="0.25">
      <c r="A406" s="45"/>
      <c r="B406" s="2176" t="s">
        <v>1051</v>
      </c>
      <c r="C406" s="2106"/>
      <c r="D406" s="2106" t="s">
        <v>1052</v>
      </c>
      <c r="E406" s="2106"/>
      <c r="F406" s="2106" t="s">
        <v>1054</v>
      </c>
      <c r="G406" s="2106"/>
      <c r="H406" s="2174"/>
      <c r="I406" s="45"/>
      <c r="J406" s="45"/>
      <c r="K406" s="45"/>
      <c r="L406" s="45"/>
      <c r="M406" s="45"/>
    </row>
    <row r="407" spans="1:14" ht="18.75" customHeight="1" x14ac:dyDescent="0.25">
      <c r="A407" s="45"/>
      <c r="B407" s="1689"/>
      <c r="C407" s="1736"/>
      <c r="D407" s="1689"/>
      <c r="E407" s="1690"/>
      <c r="F407" s="1740"/>
      <c r="G407" s="1740"/>
      <c r="H407" s="2103"/>
      <c r="I407" s="45"/>
      <c r="J407" s="45"/>
      <c r="K407" s="45"/>
      <c r="L407" s="45"/>
      <c r="M407" s="45"/>
      <c r="N407" s="35">
        <f>IF(AND(B407&lt;&gt;"",D407&lt;&gt;"",F407&lt;&gt;""),1,0)</f>
        <v>0</v>
      </c>
    </row>
    <row r="408" spans="1:14" ht="18.75" customHeight="1" x14ac:dyDescent="0.25">
      <c r="A408" s="45"/>
      <c r="B408" s="1689"/>
      <c r="C408" s="1736"/>
      <c r="D408" s="1689"/>
      <c r="E408" s="1690"/>
      <c r="F408" s="1736"/>
      <c r="G408" s="1736"/>
      <c r="H408" s="1690"/>
      <c r="I408" s="45"/>
      <c r="J408" s="45"/>
      <c r="K408" s="45"/>
      <c r="L408" s="45"/>
      <c r="M408" s="45"/>
      <c r="N408" s="35">
        <f>IF(AND(B408&lt;&gt;"",D408&lt;&gt;"",F408&lt;&gt;""),1,0)</f>
        <v>0</v>
      </c>
    </row>
    <row r="409" spans="1:14" ht="18.75" customHeight="1" x14ac:dyDescent="0.25">
      <c r="A409" s="45"/>
      <c r="B409" s="1689"/>
      <c r="C409" s="1736"/>
      <c r="D409" s="1689"/>
      <c r="E409" s="1690"/>
      <c r="F409" s="1736"/>
      <c r="G409" s="1736"/>
      <c r="H409" s="1690"/>
      <c r="I409" s="45"/>
      <c r="J409" s="45"/>
      <c r="K409" s="45"/>
      <c r="L409" s="45"/>
      <c r="M409" s="45"/>
      <c r="N409" s="35">
        <f>IF(AND(B409&lt;&gt;"",D409&lt;&gt;"",F409&lt;&gt;""),1,0)</f>
        <v>0</v>
      </c>
    </row>
    <row r="410" spans="1:14" ht="18.75" customHeight="1" x14ac:dyDescent="0.25">
      <c r="A410" s="45"/>
      <c r="B410" s="1689"/>
      <c r="C410" s="1736"/>
      <c r="D410" s="1689"/>
      <c r="E410" s="1690"/>
      <c r="F410" s="1736"/>
      <c r="G410" s="1736"/>
      <c r="H410" s="1690"/>
      <c r="I410" s="45"/>
      <c r="J410" s="45"/>
      <c r="K410" s="45"/>
      <c r="L410" s="45"/>
      <c r="M410" s="45"/>
      <c r="N410" s="35">
        <f>IF(AND(B410&lt;&gt;"",D410&lt;&gt;"",F410&lt;&gt;""),1,0)</f>
        <v>0</v>
      </c>
    </row>
    <row r="411" spans="1:14" ht="18.75" customHeight="1" x14ac:dyDescent="0.25">
      <c r="A411" s="45"/>
      <c r="B411" s="1689"/>
      <c r="C411" s="1736"/>
      <c r="D411" s="1689"/>
      <c r="E411" s="1690"/>
      <c r="F411" s="1736"/>
      <c r="G411" s="1736"/>
      <c r="H411" s="1690"/>
      <c r="I411" s="45"/>
      <c r="J411" s="45"/>
      <c r="K411" s="45"/>
      <c r="L411" s="45"/>
      <c r="M411" s="45"/>
      <c r="N411" s="35">
        <f>IF(AND(B411&lt;&gt;"",D411&lt;&gt;"",F411&lt;&gt;""),1,0)</f>
        <v>0</v>
      </c>
    </row>
    <row r="412" spans="1:14" ht="16.5" customHeight="1" x14ac:dyDescent="0.25">
      <c r="A412" s="45"/>
      <c r="B412" s="46"/>
      <c r="C412" s="46"/>
      <c r="D412" s="46"/>
      <c r="E412" s="46"/>
      <c r="F412" s="45"/>
      <c r="G412" s="45"/>
      <c r="H412" s="45"/>
      <c r="I412" s="45"/>
      <c r="J412" s="45"/>
      <c r="K412" s="45"/>
      <c r="L412" s="45"/>
      <c r="M412" s="45"/>
    </row>
    <row r="413" spans="1:14" ht="18" customHeight="1" x14ac:dyDescent="0.25">
      <c r="A413" s="45"/>
      <c r="B413" s="2124" t="s">
        <v>595</v>
      </c>
      <c r="C413" s="2126"/>
      <c r="D413" s="66" t="str">
        <f>IF(D399="","No",IF(D399&gt;3,"Yes",IF(COUNTIF(O382:O396,"&lt;3")=SUM(N407:N411),"Yes","No")))</f>
        <v>No</v>
      </c>
      <c r="E413" s="45"/>
      <c r="F413" s="45"/>
      <c r="G413" s="45"/>
      <c r="H413" s="45"/>
      <c r="I413" s="45"/>
      <c r="J413" s="45"/>
      <c r="K413" s="45"/>
      <c r="L413" s="45"/>
      <c r="M413" s="45"/>
    </row>
    <row r="414" spans="1:14" ht="18" customHeight="1" x14ac:dyDescent="0.25">
      <c r="A414" s="45"/>
      <c r="B414" s="46"/>
      <c r="C414" s="46"/>
      <c r="D414" s="46"/>
      <c r="E414" s="45"/>
      <c r="F414" s="45"/>
      <c r="G414" s="45"/>
      <c r="H414" s="45"/>
      <c r="I414" s="45"/>
      <c r="J414" s="45"/>
      <c r="K414" s="45"/>
      <c r="L414" s="45"/>
      <c r="M414" s="45"/>
    </row>
    <row r="415" spans="1:14" ht="18" customHeight="1" x14ac:dyDescent="0.25">
      <c r="A415" s="2117" t="s">
        <v>84</v>
      </c>
      <c r="B415" s="2117"/>
      <c r="C415" s="2117"/>
      <c r="D415" s="46"/>
      <c r="E415" s="45"/>
      <c r="F415" s="45"/>
      <c r="G415" s="45"/>
      <c r="H415" s="45"/>
      <c r="I415" s="45"/>
      <c r="J415" s="45"/>
      <c r="K415" s="45"/>
      <c r="L415" s="45"/>
      <c r="M415" s="45"/>
    </row>
    <row r="416" spans="1:14" x14ac:dyDescent="0.25">
      <c r="A416" s="45"/>
      <c r="B416" s="46"/>
      <c r="C416" s="46"/>
      <c r="D416" s="46"/>
      <c r="E416" s="45"/>
      <c r="F416" s="45"/>
      <c r="G416" s="45"/>
      <c r="H416" s="45"/>
      <c r="I416" s="45"/>
      <c r="J416" s="45"/>
      <c r="K416" s="45"/>
      <c r="L416" s="45"/>
      <c r="M416" s="45"/>
      <c r="N416" s="45"/>
    </row>
    <row r="417" spans="1:17" ht="21" customHeight="1" x14ac:dyDescent="0.25">
      <c r="A417" s="45"/>
      <c r="B417" s="2104" t="s">
        <v>85</v>
      </c>
      <c r="C417" s="2105"/>
      <c r="D417" s="2105"/>
      <c r="E417" s="2105"/>
      <c r="F417" s="2105"/>
      <c r="G417" s="1005" t="s">
        <v>907</v>
      </c>
      <c r="H417" s="2106" t="s">
        <v>908</v>
      </c>
      <c r="I417" s="2106"/>
      <c r="J417" s="532"/>
      <c r="K417" s="45"/>
      <c r="L417" s="45"/>
      <c r="M417" s="45"/>
      <c r="N417" s="45"/>
    </row>
    <row r="418" spans="1:17" ht="24" customHeight="1" x14ac:dyDescent="0.25">
      <c r="A418" s="45"/>
      <c r="B418" s="1648" t="str">
        <f>Submittals!G114</f>
        <v xml:space="preserve">• Results of the post-occupancy comfort survey </v>
      </c>
      <c r="C418" s="1649"/>
      <c r="D418" s="1649"/>
      <c r="E418" s="1649"/>
      <c r="F418" s="1649"/>
      <c r="G418" s="993" t="s">
        <v>53</v>
      </c>
      <c r="H418" s="1689"/>
      <c r="I418" s="1690"/>
      <c r="J418" s="532"/>
      <c r="K418" s="45"/>
      <c r="L418" s="45"/>
      <c r="M418" s="45"/>
      <c r="N418" s="35" t="str">
        <f>IF(OR(B418="/",B418="No evidence required at this submission stage"),"Yes",IF(G418="Submitted","Yes","No"))</f>
        <v>No</v>
      </c>
    </row>
    <row r="419" spans="1:17" ht="24" customHeight="1" x14ac:dyDescent="0.25">
      <c r="A419" s="45"/>
      <c r="B419" s="1648" t="str">
        <f>Submittals!G115</f>
        <v>• Evidence that the measurements and corrective actions have been undertaken</v>
      </c>
      <c r="C419" s="1649"/>
      <c r="D419" s="1649"/>
      <c r="E419" s="1649"/>
      <c r="F419" s="1649"/>
      <c r="G419" s="993" t="s">
        <v>53</v>
      </c>
      <c r="H419" s="1689"/>
      <c r="I419" s="1690"/>
      <c r="J419" s="45"/>
      <c r="K419" s="45"/>
      <c r="L419" s="45"/>
      <c r="M419" s="45"/>
      <c r="N419" s="35" t="str">
        <f>IF(OR(B419="/",B419="No evidence required at this submission stage"),"Yes",IF(G419="Submitted","Yes","No"))</f>
        <v>No</v>
      </c>
    </row>
    <row r="420" spans="1:17" ht="19.5" customHeight="1" x14ac:dyDescent="0.25">
      <c r="A420" s="45"/>
      <c r="B420" s="46"/>
      <c r="C420" s="46"/>
      <c r="D420" s="46"/>
      <c r="E420" s="45"/>
      <c r="F420" s="45"/>
      <c r="G420" s="45"/>
      <c r="H420" s="45"/>
      <c r="I420" s="45"/>
      <c r="J420" s="45"/>
      <c r="K420" s="45"/>
      <c r="L420" s="45"/>
      <c r="M420" s="45"/>
    </row>
    <row r="421" spans="1:17" ht="18" customHeight="1" x14ac:dyDescent="0.25">
      <c r="A421" s="2117" t="s">
        <v>5</v>
      </c>
      <c r="B421" s="2117"/>
      <c r="C421" s="2117"/>
      <c r="D421" s="46"/>
      <c r="E421" s="45"/>
      <c r="F421" s="45"/>
      <c r="G421" s="45"/>
      <c r="H421" s="45"/>
      <c r="I421" s="45"/>
      <c r="J421" s="45"/>
      <c r="K421" s="45"/>
      <c r="L421" s="45"/>
      <c r="M421" s="45"/>
    </row>
    <row r="422" spans="1:17" ht="15.75" customHeight="1" x14ac:dyDescent="0.25">
      <c r="A422" s="45"/>
      <c r="B422" s="46"/>
      <c r="C422" s="46"/>
      <c r="D422" s="46"/>
      <c r="E422" s="46"/>
      <c r="F422" s="45"/>
      <c r="G422" s="45"/>
      <c r="H422" s="45"/>
      <c r="I422" s="45"/>
      <c r="J422" s="45"/>
      <c r="K422" s="45"/>
      <c r="L422" s="45"/>
      <c r="M422" s="45"/>
    </row>
    <row r="423" spans="1:17" ht="16.5" customHeight="1" x14ac:dyDescent="0.25">
      <c r="A423" s="45"/>
      <c r="B423" s="107" t="s">
        <v>16</v>
      </c>
      <c r="C423" s="108">
        <f>IF(D413="Yes",1,0)</f>
        <v>0</v>
      </c>
      <c r="D423" s="46"/>
      <c r="E423" s="45"/>
      <c r="F423" s="45"/>
      <c r="G423" s="45"/>
      <c r="H423" s="45"/>
      <c r="I423" s="45"/>
      <c r="J423" s="45"/>
      <c r="K423" s="45"/>
      <c r="L423" s="45"/>
      <c r="M423" s="45"/>
    </row>
    <row r="424" spans="1:17" ht="16.5" customHeight="1" x14ac:dyDescent="0.25">
      <c r="A424" s="45"/>
      <c r="B424" s="109" t="s">
        <v>133</v>
      </c>
      <c r="C424" s="108" t="str">
        <f>IF(AND(COUNTIF(N418:N419,"Yes")=2,C423&gt;0),"Yes","No")</f>
        <v>No</v>
      </c>
      <c r="D424" s="46"/>
      <c r="E424" s="46"/>
      <c r="F424" s="45"/>
      <c r="G424" s="45"/>
      <c r="H424" s="45"/>
      <c r="I424" s="45"/>
      <c r="J424" s="45"/>
      <c r="K424" s="45"/>
      <c r="L424" s="45"/>
      <c r="M424" s="45"/>
    </row>
    <row r="425" spans="1:17" ht="21.75" customHeight="1" x14ac:dyDescent="0.25">
      <c r="A425" s="46"/>
      <c r="B425" s="46"/>
      <c r="C425" s="46"/>
      <c r="D425" s="46"/>
      <c r="E425" s="46"/>
      <c r="F425" s="46"/>
      <c r="G425" s="46"/>
      <c r="H425" s="46"/>
      <c r="I425" s="46"/>
      <c r="J425" s="46"/>
      <c r="K425" s="46"/>
      <c r="L425" s="46"/>
      <c r="M425" s="46"/>
      <c r="O425"/>
      <c r="P425"/>
      <c r="Q425"/>
    </row>
    <row r="426" spans="1:17" ht="15" hidden="1" customHeight="1" x14ac:dyDescent="0.25"/>
    <row r="427" spans="1:17" ht="15" hidden="1" customHeight="1" x14ac:dyDescent="0.25"/>
    <row r="428" spans="1:17" ht="15" hidden="1" customHeight="1" x14ac:dyDescent="0.25"/>
    <row r="429" spans="1:17" ht="15" hidden="1" customHeight="1" x14ac:dyDescent="0.25"/>
    <row r="430" spans="1:17" ht="15" hidden="1" customHeight="1" x14ac:dyDescent="0.25"/>
    <row r="431" spans="1:17" ht="15" hidden="1" customHeight="1" x14ac:dyDescent="0.25"/>
    <row r="432" spans="1:17"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sheetData>
  <sheetProtection algorithmName="SHA-512" hashValue="qCHgmWyt0XVboDYYewNzeDJ7CFXLNnVCBVaRS3vW2KLyfH7IumKjaVeYbBWkgG36bcBTogXTPx9ER4v6ZRt7nQ==" saltValue="XaDjBpYRjx/hyAnN5Vye5Q==" spinCount="100000" sheet="1" objects="1" scenarios="1" formatRows="0"/>
  <mergeCells count="252">
    <mergeCell ref="C317:D317"/>
    <mergeCell ref="C320:D320"/>
    <mergeCell ref="B388:H388"/>
    <mergeCell ref="G270:H270"/>
    <mergeCell ref="G271:H271"/>
    <mergeCell ref="G272:H272"/>
    <mergeCell ref="G273:H273"/>
    <mergeCell ref="G232:H232"/>
    <mergeCell ref="G233:H233"/>
    <mergeCell ref="G234:H234"/>
    <mergeCell ref="G235:H235"/>
    <mergeCell ref="C308:D308"/>
    <mergeCell ref="A286:C286"/>
    <mergeCell ref="B288:F288"/>
    <mergeCell ref="H288:I288"/>
    <mergeCell ref="A299:C299"/>
    <mergeCell ref="B289:F289"/>
    <mergeCell ref="B303:E303"/>
    <mergeCell ref="C304:D304"/>
    <mergeCell ref="C305:D305"/>
    <mergeCell ref="B306:B307"/>
    <mergeCell ref="C306:D306"/>
    <mergeCell ref="C307:D307"/>
    <mergeCell ref="B308:B310"/>
    <mergeCell ref="B392:H392"/>
    <mergeCell ref="B395:H395"/>
    <mergeCell ref="B399:C399"/>
    <mergeCell ref="B353:C353"/>
    <mergeCell ref="A355:C355"/>
    <mergeCell ref="B357:F357"/>
    <mergeCell ref="H357:I357"/>
    <mergeCell ref="H358:I358"/>
    <mergeCell ref="A361:C361"/>
    <mergeCell ref="A366:M366"/>
    <mergeCell ref="A368:C368"/>
    <mergeCell ref="B370:J370"/>
    <mergeCell ref="B371:J371"/>
    <mergeCell ref="B375:C375"/>
    <mergeCell ref="B376:C376"/>
    <mergeCell ref="B381:H381"/>
    <mergeCell ref="B385:H385"/>
    <mergeCell ref="B358:F358"/>
    <mergeCell ref="H359:I359"/>
    <mergeCell ref="B359:F359"/>
    <mergeCell ref="C314:D314"/>
    <mergeCell ref="C309:D309"/>
    <mergeCell ref="C310:D310"/>
    <mergeCell ref="G263:H263"/>
    <mergeCell ref="G264:H264"/>
    <mergeCell ref="G265:H265"/>
    <mergeCell ref="G266:H266"/>
    <mergeCell ref="G267:H267"/>
    <mergeCell ref="A297:D297"/>
    <mergeCell ref="G276:H276"/>
    <mergeCell ref="G277:H277"/>
    <mergeCell ref="G278:H278"/>
    <mergeCell ref="B321:B323"/>
    <mergeCell ref="C321:D321"/>
    <mergeCell ref="C322:D322"/>
    <mergeCell ref="C323:D323"/>
    <mergeCell ref="C315:D315"/>
    <mergeCell ref="B316:B317"/>
    <mergeCell ref="C316:D316"/>
    <mergeCell ref="G279:H279"/>
    <mergeCell ref="G280:H280"/>
    <mergeCell ref="G281:H281"/>
    <mergeCell ref="H289:I289"/>
    <mergeCell ref="B290:F290"/>
    <mergeCell ref="H290:I290"/>
    <mergeCell ref="A292:C292"/>
    <mergeCell ref="G282:H282"/>
    <mergeCell ref="B284:C284"/>
    <mergeCell ref="C318:D318"/>
    <mergeCell ref="B319:B320"/>
    <mergeCell ref="C319:D319"/>
    <mergeCell ref="B311:B312"/>
    <mergeCell ref="C311:D311"/>
    <mergeCell ref="C312:D312"/>
    <mergeCell ref="B313:B314"/>
    <mergeCell ref="C313:D313"/>
    <mergeCell ref="A254:D254"/>
    <mergeCell ref="G268:H268"/>
    <mergeCell ref="G269:H269"/>
    <mergeCell ref="G275:H275"/>
    <mergeCell ref="G274:H274"/>
    <mergeCell ref="G221:H221"/>
    <mergeCell ref="G222:H222"/>
    <mergeCell ref="G228:H228"/>
    <mergeCell ref="G229:H229"/>
    <mergeCell ref="G230:H230"/>
    <mergeCell ref="G231:H231"/>
    <mergeCell ref="G262:H262"/>
    <mergeCell ref="A245:C245"/>
    <mergeCell ref="A250:M250"/>
    <mergeCell ref="B252:C252"/>
    <mergeCell ref="D252:E252"/>
    <mergeCell ref="A256:C256"/>
    <mergeCell ref="B243:F243"/>
    <mergeCell ref="H243:I243"/>
    <mergeCell ref="G223:H223"/>
    <mergeCell ref="G224:H224"/>
    <mergeCell ref="G225:H225"/>
    <mergeCell ref="G226:H226"/>
    <mergeCell ref="G227:H227"/>
    <mergeCell ref="G216:H216"/>
    <mergeCell ref="G217:H217"/>
    <mergeCell ref="G218:H218"/>
    <mergeCell ref="G219:H219"/>
    <mergeCell ref="G220:H220"/>
    <mergeCell ref="B241:F241"/>
    <mergeCell ref="H241:I241"/>
    <mergeCell ref="B242:F242"/>
    <mergeCell ref="H242:I242"/>
    <mergeCell ref="A239:C239"/>
    <mergeCell ref="B237:E237"/>
    <mergeCell ref="A1:M1"/>
    <mergeCell ref="I2:J4"/>
    <mergeCell ref="A5:M6"/>
    <mergeCell ref="A8:M8"/>
    <mergeCell ref="A24:M24"/>
    <mergeCell ref="A106:C106"/>
    <mergeCell ref="B114:L114"/>
    <mergeCell ref="B119:I119"/>
    <mergeCell ref="F121:G121"/>
    <mergeCell ref="B49:F49"/>
    <mergeCell ref="B51:C51"/>
    <mergeCell ref="D51:E51"/>
    <mergeCell ref="H70:I70"/>
    <mergeCell ref="B53:C53"/>
    <mergeCell ref="B54:C54"/>
    <mergeCell ref="B55:C55"/>
    <mergeCell ref="B12:F12"/>
    <mergeCell ref="B14:F14"/>
    <mergeCell ref="B15:F15"/>
    <mergeCell ref="A104:M104"/>
    <mergeCell ref="A32:C32"/>
    <mergeCell ref="B42:K43"/>
    <mergeCell ref="A26:M26"/>
    <mergeCell ref="B28:C28"/>
    <mergeCell ref="H418:I418"/>
    <mergeCell ref="B418:F418"/>
    <mergeCell ref="H419:I419"/>
    <mergeCell ref="A415:C415"/>
    <mergeCell ref="A421:C421"/>
    <mergeCell ref="B419:F419"/>
    <mergeCell ref="B409:C409"/>
    <mergeCell ref="D409:E409"/>
    <mergeCell ref="F409:H409"/>
    <mergeCell ref="B410:C410"/>
    <mergeCell ref="D410:E410"/>
    <mergeCell ref="F410:H410"/>
    <mergeCell ref="B411:C411"/>
    <mergeCell ref="D411:E411"/>
    <mergeCell ref="F411:H411"/>
    <mergeCell ref="D28:E28"/>
    <mergeCell ref="A30:D30"/>
    <mergeCell ref="H69:I69"/>
    <mergeCell ref="B70:F70"/>
    <mergeCell ref="B413:C413"/>
    <mergeCell ref="B417:F417"/>
    <mergeCell ref="H417:I417"/>
    <mergeCell ref="B406:C406"/>
    <mergeCell ref="D406:E406"/>
    <mergeCell ref="F406:H406"/>
    <mergeCell ref="B407:C407"/>
    <mergeCell ref="D407:E407"/>
    <mergeCell ref="F407:H407"/>
    <mergeCell ref="B408:C408"/>
    <mergeCell ref="D408:E408"/>
    <mergeCell ref="F408:H408"/>
    <mergeCell ref="B200:C200"/>
    <mergeCell ref="E200:G200"/>
    <mergeCell ref="F122:G122"/>
    <mergeCell ref="F123:G123"/>
    <mergeCell ref="B133:C133"/>
    <mergeCell ref="A212:C212"/>
    <mergeCell ref="B138:F138"/>
    <mergeCell ref="H138:I138"/>
    <mergeCell ref="F124:G124"/>
    <mergeCell ref="F125:G125"/>
    <mergeCell ref="F126:G126"/>
    <mergeCell ref="F127:G127"/>
    <mergeCell ref="F128:G128"/>
    <mergeCell ref="F129:G129"/>
    <mergeCell ref="A141:C141"/>
    <mergeCell ref="E208:G208"/>
    <mergeCell ref="E209:G209"/>
    <mergeCell ref="A190:M190"/>
    <mergeCell ref="F130:G130"/>
    <mergeCell ref="F131:G131"/>
    <mergeCell ref="A135:C135"/>
    <mergeCell ref="A179:C179"/>
    <mergeCell ref="B181:F181"/>
    <mergeCell ref="H181:I181"/>
    <mergeCell ref="B182:F182"/>
    <mergeCell ref="H182:I182"/>
    <mergeCell ref="B183:F183"/>
    <mergeCell ref="B139:F139"/>
    <mergeCell ref="H139:I139"/>
    <mergeCell ref="B137:F137"/>
    <mergeCell ref="H137:I137"/>
    <mergeCell ref="H183:I183"/>
    <mergeCell ref="B210:C210"/>
    <mergeCell ref="E210:G210"/>
    <mergeCell ref="B201:C205"/>
    <mergeCell ref="E201:G201"/>
    <mergeCell ref="E202:G202"/>
    <mergeCell ref="E203:G203"/>
    <mergeCell ref="E204:G204"/>
    <mergeCell ref="E205:G205"/>
    <mergeCell ref="A192:C192"/>
    <mergeCell ref="B206:C209"/>
    <mergeCell ref="E206:G206"/>
    <mergeCell ref="E207:G207"/>
    <mergeCell ref="B11:I11"/>
    <mergeCell ref="B10:F10"/>
    <mergeCell ref="B20:I20"/>
    <mergeCell ref="B22:F22"/>
    <mergeCell ref="B13:F13"/>
    <mergeCell ref="B17:F17"/>
    <mergeCell ref="B19:F19"/>
    <mergeCell ref="B21:F21"/>
    <mergeCell ref="B18:I18"/>
    <mergeCell ref="B16:I16"/>
    <mergeCell ref="B97:F97"/>
    <mergeCell ref="H97:I97"/>
    <mergeCell ref="B57:D57"/>
    <mergeCell ref="B59:D59"/>
    <mergeCell ref="B60:D60"/>
    <mergeCell ref="B62:D62"/>
    <mergeCell ref="G62:H62"/>
    <mergeCell ref="B65:C65"/>
    <mergeCell ref="B69:F69"/>
    <mergeCell ref="A78:D78"/>
    <mergeCell ref="B71:F71"/>
    <mergeCell ref="H71:I71"/>
    <mergeCell ref="B86:F86"/>
    <mergeCell ref="B88:F88"/>
    <mergeCell ref="B89:F89"/>
    <mergeCell ref="B90:F90"/>
    <mergeCell ref="B92:D92"/>
    <mergeCell ref="B96:F96"/>
    <mergeCell ref="H96:I96"/>
    <mergeCell ref="A185:C185"/>
    <mergeCell ref="B157:J157"/>
    <mergeCell ref="B163:C163"/>
    <mergeCell ref="D163:E163"/>
    <mergeCell ref="B177:C177"/>
    <mergeCell ref="A146:M146"/>
    <mergeCell ref="A148:C148"/>
    <mergeCell ref="B161:I161"/>
    <mergeCell ref="B155:J155"/>
  </mergeCells>
  <conditionalFormatting sqref="G358:G359">
    <cfRule type="expression" dxfId="149" priority="36">
      <formula>#REF!&lt;&gt;"Prescriptive Path"</formula>
    </cfRule>
  </conditionalFormatting>
  <conditionalFormatting sqref="G242:G243">
    <cfRule type="expression" dxfId="148" priority="37">
      <formula>#REF!&lt;&gt;"Prescriptive Path"</formula>
    </cfRule>
  </conditionalFormatting>
  <conditionalFormatting sqref="H241:I241">
    <cfRule type="expression" dxfId="147" priority="35">
      <formula>#REF!&lt;&gt;"Prescriptive Path"</formula>
    </cfRule>
  </conditionalFormatting>
  <conditionalFormatting sqref="H242:H243">
    <cfRule type="expression" dxfId="146" priority="34">
      <formula>#REF!&lt;&gt;"Prescriptive Path"</formula>
    </cfRule>
  </conditionalFormatting>
  <conditionalFormatting sqref="H357:I357">
    <cfRule type="expression" dxfId="145" priority="33">
      <formula>#REF!&lt;&gt;"Prescriptive Path"</formula>
    </cfRule>
  </conditionalFormatting>
  <conditionalFormatting sqref="G289:G290">
    <cfRule type="expression" dxfId="144" priority="29">
      <formula>#REF!&lt;&gt;"Prescriptive Path"</formula>
    </cfRule>
  </conditionalFormatting>
  <conditionalFormatting sqref="H288:I288">
    <cfRule type="expression" dxfId="143" priority="28">
      <formula>#REF!&lt;&gt;"Prescriptive Path"</formula>
    </cfRule>
  </conditionalFormatting>
  <conditionalFormatting sqref="H289:I290">
    <cfRule type="expression" dxfId="142" priority="26">
      <formula>$B289="/"</formula>
    </cfRule>
    <cfRule type="expression" dxfId="141" priority="27">
      <formula>$B289="No evidence required at this submission stage"</formula>
    </cfRule>
  </conditionalFormatting>
  <conditionalFormatting sqref="B418:B419">
    <cfRule type="expression" dxfId="140" priority="21">
      <formula>#REF!&lt;&gt;"Prescriptive Path"</formula>
    </cfRule>
  </conditionalFormatting>
  <conditionalFormatting sqref="G418:I419">
    <cfRule type="expression" dxfId="139" priority="19">
      <formula>#REF!="No evidence required at this submission stage"</formula>
    </cfRule>
    <cfRule type="expression" dxfId="138" priority="20">
      <formula>#REF!="/"</formula>
    </cfRule>
  </conditionalFormatting>
  <conditionalFormatting sqref="B138:B139">
    <cfRule type="expression" dxfId="137" priority="18">
      <formula>#REF!&lt;&gt;"Prescriptive Path"</formula>
    </cfRule>
  </conditionalFormatting>
  <conditionalFormatting sqref="G138:H139">
    <cfRule type="expression" dxfId="136" priority="15">
      <formula>#REF!="/"</formula>
    </cfRule>
    <cfRule type="expression" dxfId="135" priority="16">
      <formula>#REF!="No evidence required at this submission stage"</formula>
    </cfRule>
  </conditionalFormatting>
  <conditionalFormatting sqref="B97">
    <cfRule type="expression" dxfId="134" priority="14">
      <formula>#REF!&lt;&gt;"Prescriptive Path"</formula>
    </cfRule>
  </conditionalFormatting>
  <conditionalFormatting sqref="G97:H97 G70:G71">
    <cfRule type="expression" dxfId="133" priority="7">
      <formula>#REF!="/"</formula>
    </cfRule>
    <cfRule type="expression" dxfId="132" priority="8">
      <formula>#REF!="No evidence required at this submission stage"</formula>
    </cfRule>
  </conditionalFormatting>
  <conditionalFormatting sqref="B70:B71">
    <cfRule type="expression" dxfId="131" priority="11">
      <formula>#REF!&lt;&gt;"Prescriptive Path"</formula>
    </cfRule>
  </conditionalFormatting>
  <conditionalFormatting sqref="H70:I71">
    <cfRule type="expression" dxfId="130" priority="5">
      <formula>#REF!="No evidence required at this submission stage"</formula>
    </cfRule>
    <cfRule type="expression" dxfId="129" priority="6">
      <formula>#REF!="/"</formula>
    </cfRule>
  </conditionalFormatting>
  <conditionalFormatting sqref="H358:I358">
    <cfRule type="expression" dxfId="128" priority="446">
      <formula>#REF!="/"</formula>
    </cfRule>
    <cfRule type="expression" dxfId="127" priority="447">
      <formula>#REF!="No evidence required at this submission stage"</formula>
    </cfRule>
  </conditionalFormatting>
  <conditionalFormatting sqref="H359:I359">
    <cfRule type="expression" dxfId="126" priority="448">
      <formula>$B358="/"</formula>
    </cfRule>
    <cfRule type="expression" dxfId="125" priority="449">
      <formula>$B358="No evidence required at this submission stage"</formula>
    </cfRule>
  </conditionalFormatting>
  <conditionalFormatting sqref="B182">
    <cfRule type="expression" dxfId="124" priority="4">
      <formula>#REF!&lt;&gt;"Prescriptive Path"</formula>
    </cfRule>
  </conditionalFormatting>
  <conditionalFormatting sqref="G182:H183">
    <cfRule type="expression" dxfId="123" priority="2">
      <formula>#REF!="/"</formula>
    </cfRule>
    <cfRule type="expression" dxfId="122" priority="3">
      <formula>#REF!="No evidence required at this submission stage"</formula>
    </cfRule>
  </conditionalFormatting>
  <conditionalFormatting sqref="B183">
    <cfRule type="expression" dxfId="121" priority="1">
      <formula>#REF!&lt;&gt;"Prescriptive Path"</formula>
    </cfRule>
  </conditionalFormatting>
  <dataValidations xWindow="646" yWindow="641" count="26">
    <dataValidation type="list" allowBlank="1" showInputMessage="1" showErrorMessage="1" sqref="D252:E252" xr:uid="{00000000-0002-0000-2700-000000000000}">
      <formula1>"Select,Option A: Internal Noise Levels,Option B: Reverberation Time"</formula1>
    </dataValidation>
    <dataValidation allowBlank="1" showInputMessage="1" showErrorMessage="1" prompt="Calculated based on minimum illuminance level required and area of the space" sqref="F216:F235" xr:uid="{00000000-0002-0000-2700-000001000000}"/>
    <dataValidation allowBlank="1" showInputMessage="1" showErrorMessage="1" prompt="As defined in Table H.1 above" sqref="C216:D216" xr:uid="{00000000-0002-0000-2700-000002000000}"/>
    <dataValidation type="list" allowBlank="1" showInputMessage="1" showErrorMessage="1" prompt="Select the application as defined in Table H.1 above" sqref="D217:D235" xr:uid="{00000000-0002-0000-2700-000003000000}">
      <formula1>$P217:$U217</formula1>
    </dataValidation>
    <dataValidation type="list" allowBlank="1" showInputMessage="1" showErrorMessage="1" prompt="Select the lighting purpose as defined in Table H.1 above" sqref="C217:C235" xr:uid="{00000000-0002-0000-2700-000004000000}">
      <formula1>"Select,lighting purpose 1, lighting purpose 2, lighting purpose 3"</formula1>
    </dataValidation>
    <dataValidation type="list" allowBlank="1" showInputMessage="1" showErrorMessage="1" sqref="G242:G243 G358:G359 G289:G290" xr:uid="{00000000-0002-0000-2700-000005000000}">
      <formula1>"Select, Submitted,Not submitted"</formula1>
    </dataValidation>
    <dataValidation allowBlank="1" showInputMessage="1" showErrorMessage="1" prompt="Example: _x000a_Fixtures: 2 T5 fluorescent tubes that emit 800 lumens, 1 desk halogen lamp that emits 600 lumens_x000a_Write information as follows:_x000a_&quot;2 T5 - 800 lm_x000a_1 halogen - 600 lm&quot;" sqref="G217:G235" xr:uid="{00000000-0002-0000-2700-000006000000}"/>
    <dataValidation allowBlank="1" showInputMessage="1" showErrorMessage="1" prompt="All the comfort categories with a satisfaction lower than 3." sqref="B406:C411" xr:uid="{00000000-0002-0000-2700-000007000000}"/>
    <dataValidation type="list" allowBlank="1" showInputMessage="1" showErrorMessage="1" sqref="G418:G419 G138:G139 G97 G70:G71 G182:G183" xr:uid="{00000000-0002-0000-2700-000008000000}">
      <formula1>"Select,Submitted,Not submitted"</formula1>
    </dataValidation>
    <dataValidation allowBlank="1" showInputMessage="1" showErrorMessage="1" prompt="CO2 concentration value set at which:_x000a_- fresh air supply is increased by the building automation system_x000a_- or an alarm is generated" sqref="I121:I131" xr:uid="{00000000-0002-0000-2700-000009000000}"/>
    <dataValidation type="list" allowBlank="1" showInputMessage="1" showErrorMessage="1" prompt="Select the CO2 monitoring technique applied (cf. above description)" sqref="H121:H131" xr:uid="{00000000-0002-0000-2700-00000A000000}">
      <formula1>"Select,Technique 1, Technique 2"</formula1>
    </dataValidation>
    <dataValidation type="list" allowBlank="1" showInputMessage="1" showErrorMessage="1" sqref="F122:G131" xr:uid="{00000000-0002-0000-2700-00000B000000}">
      <formula1>"Select,Breathing zone, Mounted in return air ducts"</formula1>
    </dataValidation>
    <dataValidation type="list" allowBlank="1" showInputMessage="1" showErrorMessage="1" sqref="E62 G88:G90 F166:F175" xr:uid="{00000000-0002-0000-2700-00000C000000}">
      <formula1>"Select,Yes,No"</formula1>
    </dataValidation>
    <dataValidation allowBlank="1" showInputMessage="1" showErrorMessage="1" prompt="As determined in credit H-1, minimum fresh air volumetric flow rate to be supplied to occupied spaces." sqref="B53:D53" xr:uid="{00000000-0002-0000-2700-00000D000000}"/>
    <dataValidation type="list" allowBlank="1" showInputMessage="1" showErrorMessage="1" sqref="D51:E51" xr:uid="{00000000-0002-0000-2700-00000E000000}">
      <formula1>"Select,Pre-occupancy flush-out,Pre-occupancy/Post-occupancy flush-out"</formula1>
    </dataValidation>
    <dataValidation type="list" allowBlank="1" showInputMessage="1" showErrorMessage="1" sqref="D28:E28" xr:uid="{00000000-0002-0000-2700-00000F000000}">
      <formula1>"Select,Flush-out procedure,Clean air supply ductwork"</formula1>
    </dataValidation>
    <dataValidation allowBlank="1" showInputMessage="1" showErrorMessage="1" prompt="As specified in Table 2 of TCXDVN 175-2005" sqref="C263:C282" xr:uid="{00000000-0002-0000-2700-000010000000}"/>
    <dataValidation allowBlank="1" showInputMessage="1" showErrorMessage="1" prompt="Measured in accordance with TCVN 5964 - 1995: Description and measurement of environmental noise" sqref="F263:F282" xr:uid="{00000000-0002-0000-2700-000011000000}"/>
    <dataValidation allowBlank="1" showInputMessage="1" showErrorMessage="1" prompt="Provide more details on the space types, measurements, influencing factors (Yếu tố ảnh hưởng), etc." sqref="G263:H282" xr:uid="{00000000-0002-0000-2700-000012000000}"/>
    <dataValidation type="list" allowBlank="1" showInputMessage="1" showErrorMessage="1" prompt="As given in Table 2 of TCXDVN 175-2005" sqref="D263:D282" xr:uid="{00000000-0002-0000-2700-000013000000}">
      <formula1>"Select,35,45,50,55,60"</formula1>
    </dataValidation>
    <dataValidation type="list" allowBlank="1" showInputMessage="1" showErrorMessage="1" prompt="As given in Table 3 of TCXDVN 175-2005. _x000a_Based on the influencing factors." sqref="E263:E282" xr:uid="{00000000-0002-0000-2700-000014000000}">
      <formula1>"Select,-5,0,+5,+10,+15,+20"</formula1>
    </dataValidation>
    <dataValidation type="list" allowBlank="1" showInputMessage="1" showErrorMessage="1" sqref="D332:D351" xr:uid="{00000000-0002-0000-2700-000015000000}">
      <formula1>$P332:$S332</formula1>
    </dataValidation>
    <dataValidation type="list" allowBlank="1" showInputMessage="1" showErrorMessage="1" sqref="C332:C351" xr:uid="{00000000-0002-0000-2700-000016000000}">
      <formula1>space_type_acoustic</formula1>
    </dataValidation>
    <dataValidation allowBlank="1" showInputMessage="1" showErrorMessage="1" prompt="Name of the mechanical equipment supplying fresh air: air handling unit (AHU), fresh air fan (FAF), Energy Recovery Ventilator (ERV)..._x000a_" sqref="C165:C175" xr:uid="{ED229AB4-4D61-405B-B2D1-71FE9C2461E2}"/>
    <dataValidation type="list" allowBlank="1" showInputMessage="1" showErrorMessage="1" sqref="D163:E163" xr:uid="{4373A911-5768-4064-903D-50EFD9791157}">
      <formula1>"Select,Hanoi,Ho Chi Minh City,in an industrial zone with coal power plants,in an area with a large number of bricks kilns,in a city (thành phố), other"</formula1>
    </dataValidation>
    <dataValidation allowBlank="1" showInputMessage="1" showErrorMessage="1" prompt="Enter the MERV value or the class from European standards (EN 779 or EN 1822) of the air filter" sqref="E165:E175" xr:uid="{EA81EC64-181B-42D3-9393-ABB1525F4AE1}"/>
  </dataValidations>
  <hyperlinks>
    <hyperlink ref="K2" location="'H-1 Fresh Air Supply'!B3" tooltip="H-1" display="H-1" xr:uid="{00000000-0004-0000-2700-000000000000}"/>
    <hyperlink ref="K4" location="'H-3 Interior Plants'!B3" tooltip="H-3" display="H-3" xr:uid="{00000000-0004-0000-2700-000001000000}"/>
    <hyperlink ref="K3" location="'H-2 Low-VOC Emissions '!B3" tooltip="H-2" display="H-2" xr:uid="{00000000-0004-0000-2700-000002000000}"/>
    <hyperlink ref="L2" location="'H-4 Green Cleaning'!B3" tooltip="H-4" display="H-4" xr:uid="{00000000-0004-0000-2700-000003000000}"/>
    <hyperlink ref="L4" location="'H-6 External Views'!B3" tooltip="H-6" display="H-6" xr:uid="{00000000-0004-0000-2700-000004000000}"/>
    <hyperlink ref="L3" location="'H-5 Daylighting'!B3" tooltip="H-5" display="H-5" xr:uid="{00000000-0004-0000-2700-000005000000}"/>
    <hyperlink ref="M3" location="'H-7 Thermal Comfort'!B3" tooltip="H-7" display="H-7" xr:uid="{00000000-0004-0000-2700-000006000000}"/>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76923C"/>
  </sheetPr>
  <dimension ref="A1:Q61"/>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6.28515625" customWidth="1"/>
    <col min="3" max="3" width="3.7109375" customWidth="1"/>
    <col min="4" max="4" width="11.140625" customWidth="1"/>
    <col min="5" max="5" width="20.85546875" customWidth="1"/>
    <col min="6" max="6" width="20.5703125" customWidth="1"/>
    <col min="7" max="8" width="19.7109375" customWidth="1"/>
    <col min="9" max="9" width="10.42578125" customWidth="1"/>
    <col min="10" max="10" width="8" customWidth="1"/>
    <col min="11" max="11" width="6" customWidth="1"/>
    <col min="12" max="12" width="3.85546875" customWidth="1"/>
    <col min="13" max="17" width="0" hidden="1" customWidth="1"/>
    <col min="18" max="16384" width="9.140625" hidden="1"/>
  </cols>
  <sheetData>
    <row r="1" spans="1:12" ht="34.5" customHeight="1" x14ac:dyDescent="0.25">
      <c r="A1" s="42"/>
      <c r="B1" s="2305" t="s">
        <v>2297</v>
      </c>
      <c r="C1" s="149"/>
      <c r="D1" s="1"/>
      <c r="E1" s="1"/>
      <c r="F1" s="1"/>
      <c r="G1" s="1"/>
      <c r="H1" s="1"/>
      <c r="I1" s="1"/>
      <c r="J1" s="1"/>
      <c r="K1" s="1"/>
      <c r="L1" s="1"/>
    </row>
    <row r="2" spans="1:12" ht="22.5" customHeight="1" x14ac:dyDescent="0.25">
      <c r="A2" s="42"/>
      <c r="B2" s="2305"/>
      <c r="C2" s="149"/>
      <c r="D2" s="1"/>
      <c r="E2" s="1"/>
      <c r="F2" s="1"/>
      <c r="G2" s="1"/>
      <c r="H2" s="1"/>
      <c r="I2" s="1"/>
      <c r="J2" s="1"/>
      <c r="K2" s="1"/>
      <c r="L2" s="1"/>
    </row>
    <row r="3" spans="1:12" ht="10.5" customHeight="1" x14ac:dyDescent="0.25">
      <c r="A3" s="42"/>
      <c r="B3" s="2305"/>
      <c r="C3" s="149"/>
      <c r="D3" s="1"/>
      <c r="E3" s="1"/>
      <c r="F3" s="1"/>
      <c r="G3" s="1"/>
      <c r="H3" s="1"/>
      <c r="I3" s="1"/>
      <c r="J3" s="1"/>
      <c r="K3" s="1"/>
      <c r="L3" s="1"/>
    </row>
    <row r="4" spans="1:12" ht="15" customHeight="1" x14ac:dyDescent="0.25">
      <c r="A4" s="42"/>
      <c r="B4" s="2303" t="s">
        <v>2298</v>
      </c>
      <c r="C4" s="42"/>
      <c r="D4" s="1"/>
      <c r="E4" s="2306" t="s">
        <v>118</v>
      </c>
      <c r="F4" s="2307"/>
      <c r="G4" s="2304" t="s">
        <v>119</v>
      </c>
      <c r="H4" s="2304" t="s">
        <v>16</v>
      </c>
      <c r="I4" s="1"/>
      <c r="J4" s="1"/>
      <c r="K4" s="1"/>
      <c r="L4" s="1"/>
    </row>
    <row r="5" spans="1:12" ht="14.25" customHeight="1" x14ac:dyDescent="0.25">
      <c r="A5" s="42"/>
      <c r="B5" s="2303"/>
      <c r="C5" s="150"/>
      <c r="D5" s="1"/>
      <c r="E5" s="2308"/>
      <c r="F5" s="2309"/>
      <c r="G5" s="2304"/>
      <c r="H5" s="2304"/>
      <c r="I5" s="1"/>
      <c r="J5" s="1"/>
      <c r="K5" s="1"/>
      <c r="L5" s="1"/>
    </row>
    <row r="6" spans="1:12" ht="21.75" customHeight="1" x14ac:dyDescent="0.25">
      <c r="A6" s="42"/>
      <c r="B6" s="2303"/>
      <c r="C6" s="150"/>
      <c r="D6" s="1"/>
      <c r="E6" s="2299" t="s">
        <v>2296</v>
      </c>
      <c r="F6" s="2300"/>
      <c r="G6" s="96">
        <v>3</v>
      </c>
      <c r="H6" s="96">
        <f>'SE-1 Base building '!N15</f>
        <v>0</v>
      </c>
      <c r="I6" s="1"/>
      <c r="J6" s="1"/>
      <c r="K6" s="1"/>
      <c r="L6" s="1"/>
    </row>
    <row r="7" spans="1:12" ht="21.75" customHeight="1" x14ac:dyDescent="0.25">
      <c r="A7" s="42"/>
      <c r="B7" s="2303"/>
      <c r="C7" s="150"/>
      <c r="D7" s="1"/>
      <c r="E7" s="2299" t="s">
        <v>2304</v>
      </c>
      <c r="F7" s="2300"/>
      <c r="G7" s="96">
        <v>1</v>
      </c>
      <c r="H7" s="96">
        <f>'SE-2 Tenancy lease'!N15</f>
        <v>0</v>
      </c>
      <c r="I7" s="1"/>
      <c r="J7" s="1"/>
      <c r="K7" s="1"/>
      <c r="L7" s="1"/>
    </row>
    <row r="8" spans="1:12" ht="21.75" customHeight="1" x14ac:dyDescent="0.25">
      <c r="A8" s="87"/>
      <c r="B8" s="2303"/>
      <c r="C8" s="150"/>
      <c r="D8" s="1"/>
      <c r="E8" s="2299" t="s">
        <v>2319</v>
      </c>
      <c r="F8" s="2300"/>
      <c r="G8" s="96">
        <v>2</v>
      </c>
      <c r="H8" s="96">
        <f>'SE-3 Green Transportation '!G15</f>
        <v>0</v>
      </c>
      <c r="I8" s="1"/>
      <c r="J8" s="1"/>
      <c r="K8" s="1"/>
      <c r="L8" s="1"/>
    </row>
    <row r="9" spans="1:12" ht="21.75" customHeight="1" x14ac:dyDescent="0.25">
      <c r="A9" s="87"/>
      <c r="B9" s="2303"/>
      <c r="C9" s="150"/>
      <c r="D9" s="1"/>
      <c r="E9" s="2299" t="s">
        <v>2293</v>
      </c>
      <c r="F9" s="2300"/>
      <c r="G9" s="96">
        <v>1</v>
      </c>
      <c r="H9" s="96">
        <f>'SE-4 Refrigerants'!O16</f>
        <v>0</v>
      </c>
      <c r="I9" s="1"/>
      <c r="J9" s="1"/>
      <c r="K9" s="1"/>
      <c r="L9" s="1"/>
    </row>
    <row r="10" spans="1:12" ht="21.75" customHeight="1" x14ac:dyDescent="0.25">
      <c r="A10" s="87"/>
      <c r="B10" s="2303"/>
      <c r="C10" s="150"/>
      <c r="D10" s="1"/>
      <c r="E10" s="2299" t="s">
        <v>2320</v>
      </c>
      <c r="F10" s="2300"/>
      <c r="G10" s="96">
        <v>1</v>
      </c>
      <c r="H10" s="96">
        <f>'SE-BPC'!G12</f>
        <v>0</v>
      </c>
      <c r="I10" s="3"/>
      <c r="J10" s="3"/>
      <c r="K10" s="3"/>
      <c r="L10" s="3"/>
    </row>
    <row r="11" spans="1:12" ht="23.25" customHeight="1" x14ac:dyDescent="0.25">
      <c r="A11" s="87"/>
      <c r="B11" s="2303"/>
      <c r="C11" s="132"/>
      <c r="D11" s="1"/>
      <c r="E11" s="2301" t="s">
        <v>25</v>
      </c>
      <c r="F11" s="2302"/>
      <c r="G11" s="88">
        <f>SUM(G6:G10)</f>
        <v>8</v>
      </c>
      <c r="H11" s="88">
        <f>SUM(H6:H10)</f>
        <v>0</v>
      </c>
      <c r="I11" s="1"/>
      <c r="J11" s="1"/>
      <c r="K11" s="1"/>
      <c r="L11" s="1"/>
    </row>
    <row r="12" spans="1:12" ht="28.5" customHeight="1" x14ac:dyDescent="0.25">
      <c r="A12" s="87"/>
      <c r="B12" s="132"/>
      <c r="C12" s="132"/>
      <c r="D12" s="1"/>
      <c r="E12" s="1"/>
      <c r="F12" s="1"/>
      <c r="G12" s="1"/>
      <c r="H12" s="1"/>
      <c r="I12" s="1"/>
      <c r="J12" s="1"/>
      <c r="K12" s="1"/>
      <c r="L12" s="1"/>
    </row>
    <row r="13" spans="1:12" ht="15" customHeight="1" x14ac:dyDescent="0.25">
      <c r="A13" s="87"/>
      <c r="B13" s="132"/>
      <c r="C13" s="132"/>
      <c r="D13" s="1"/>
      <c r="E13" s="1"/>
      <c r="F13" s="1"/>
      <c r="G13" s="1"/>
      <c r="H13" s="1"/>
      <c r="I13" s="1"/>
      <c r="J13" s="1"/>
      <c r="K13" s="1"/>
      <c r="L13" s="1"/>
    </row>
    <row r="14" spans="1:12" ht="15" hidden="1" customHeight="1" x14ac:dyDescent="0.25">
      <c r="A14" s="87"/>
      <c r="B14" s="132"/>
      <c r="C14" s="132"/>
      <c r="D14" s="1"/>
      <c r="E14" s="1"/>
      <c r="F14" s="1"/>
      <c r="G14" s="1"/>
      <c r="H14" s="1"/>
      <c r="I14" s="1"/>
      <c r="J14" s="1"/>
      <c r="K14" s="1"/>
      <c r="L14" s="1"/>
    </row>
    <row r="15" spans="1:12" ht="15" hidden="1" customHeight="1" x14ac:dyDescent="0.25">
      <c r="A15" s="87"/>
      <c r="B15" s="132"/>
      <c r="C15" s="132"/>
      <c r="D15" s="1"/>
      <c r="E15" s="1"/>
      <c r="F15" s="1"/>
      <c r="G15" s="1"/>
      <c r="H15" s="1"/>
      <c r="I15" s="1"/>
      <c r="J15" s="1"/>
      <c r="K15" s="1"/>
      <c r="L15" s="1"/>
    </row>
    <row r="16" spans="1:12" ht="15" hidden="1" customHeight="1" x14ac:dyDescent="0.25">
      <c r="A16" s="87"/>
      <c r="B16" s="132"/>
      <c r="C16" s="132"/>
      <c r="D16" s="1"/>
      <c r="E16" s="1"/>
      <c r="F16" s="1"/>
      <c r="G16" s="1"/>
      <c r="H16" s="1"/>
      <c r="I16" s="1"/>
      <c r="J16" s="1"/>
      <c r="K16" s="1"/>
      <c r="L16" s="1"/>
    </row>
    <row r="17" spans="1:12" ht="15" hidden="1" customHeight="1" x14ac:dyDescent="0.25">
      <c r="A17" s="87"/>
      <c r="B17" s="132"/>
      <c r="C17" s="132"/>
      <c r="D17" s="1"/>
      <c r="E17" s="1"/>
      <c r="F17" s="1"/>
      <c r="G17" s="1"/>
      <c r="H17" s="1"/>
      <c r="I17" s="1"/>
      <c r="J17" s="1"/>
      <c r="K17" s="1"/>
      <c r="L17" s="1"/>
    </row>
    <row r="18" spans="1:12" ht="15" hidden="1" customHeight="1" x14ac:dyDescent="0.25">
      <c r="A18" s="87"/>
      <c r="B18" s="132"/>
      <c r="C18" s="13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D45" s="1"/>
      <c r="E45" s="1"/>
      <c r="F45" s="1"/>
      <c r="G45" s="1"/>
      <c r="H45" s="1"/>
      <c r="I45" s="1"/>
    </row>
    <row r="46" spans="1:12" ht="15" hidden="1" customHeight="1" x14ac:dyDescent="0.25">
      <c r="D46" s="1"/>
      <c r="I46" s="1"/>
    </row>
    <row r="47" spans="1:12" ht="15" hidden="1" customHeight="1" x14ac:dyDescent="0.25">
      <c r="D47" s="1"/>
      <c r="I47" s="1"/>
    </row>
    <row r="48" spans="1:12" ht="15" hidden="1" customHeight="1" x14ac:dyDescent="0.25">
      <c r="D48" s="1"/>
      <c r="I48" s="1"/>
    </row>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0" hidden="1" customHeight="1" x14ac:dyDescent="0.25"/>
    <row r="57" ht="0" hidden="1" customHeight="1" x14ac:dyDescent="0.25"/>
    <row r="58" ht="0" hidden="1" customHeight="1" x14ac:dyDescent="0.25"/>
    <row r="59" ht="0" hidden="1" customHeight="1" x14ac:dyDescent="0.25"/>
    <row r="60" ht="0" hidden="1" customHeight="1" x14ac:dyDescent="0.25"/>
    <row r="61" ht="0" hidden="1" customHeight="1" x14ac:dyDescent="0.25"/>
  </sheetData>
  <sheetProtection algorithmName="SHA-512" hashValue="DGOnFZ0qMJFWNvFDHYp5nEgG0gGV/QY9gjzxzi6mQXuLDUfs3wuTha7w+f6z+UrfagBUP+IgV1R1psXEYek2SQ==" saltValue="TAtxbBY1M9K570le+DZvAg==" spinCount="100000" sheet="1" objects="1" scenarios="1" formatRows="0"/>
  <mergeCells count="11">
    <mergeCell ref="H4:H5"/>
    <mergeCell ref="E7:F7"/>
    <mergeCell ref="E8:F8"/>
    <mergeCell ref="B1:B3"/>
    <mergeCell ref="E6:F6"/>
    <mergeCell ref="E4:F5"/>
    <mergeCell ref="E10:F10"/>
    <mergeCell ref="E11:F11"/>
    <mergeCell ref="B4:B11"/>
    <mergeCell ref="E9:F9"/>
    <mergeCell ref="G4:G5"/>
  </mergeCells>
  <hyperlinks>
    <hyperlink ref="E7:F7" location="'SE-2 Tenancy lease'!B3" tooltip="SE-2 Tenancy lease" display="SE-2 Tenancy lease" xr:uid="{00000000-0004-0000-2800-000000000000}"/>
    <hyperlink ref="E10:F10" location="'SE-BPC'!B3" tooltip="SE-BPC-1 Facilities and amenities" display="SE-BPC-1 Facilities and amenities" xr:uid="{00000000-0004-0000-2800-000001000000}"/>
    <hyperlink ref="E8:F8" location="'SE-3 Green Transportation '!B3" tooltip="SE-3 Green Transportation" display="SE-3 Green Transportation" xr:uid="{00000000-0004-0000-2800-000002000000}"/>
    <hyperlink ref="E6:F6" location="'SE-1 Base building '!B3" tooltip="SE-1 Green base building" display="SE-1 Green base building" xr:uid="{00000000-0004-0000-2800-000003000000}"/>
    <hyperlink ref="E9:F9" location="'SE-4 Refrigerants'!B3" tooltip="SE-4 Refrigerants" display="SE-4 Refrigerants" xr:uid="{C36D76D4-B75A-44D9-B098-C23D1F362A26}"/>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25"/>
  <sheetViews>
    <sheetView showGridLines="0" showRowColHeaders="0" zoomScaleNormal="100" workbookViewId="0">
      <pane ySplit="6" topLeftCell="A7" activePane="bottomLeft" state="frozen"/>
      <selection activeCell="N3" sqref="N3"/>
      <selection pane="bottomLeft" activeCell="N3" sqref="N3"/>
    </sheetView>
  </sheetViews>
  <sheetFormatPr defaultColWidth="0" defaultRowHeight="15" zeroHeight="1" x14ac:dyDescent="0.25"/>
  <cols>
    <col min="1" max="1" width="3.7109375" customWidth="1"/>
    <col min="2" max="3" width="10.7109375" customWidth="1"/>
    <col min="4" max="9" width="13" customWidth="1"/>
    <col min="10" max="10" width="10.7109375" customWidth="1"/>
    <col min="11" max="11" width="13.28515625" customWidth="1"/>
    <col min="12" max="12" width="17.5703125" customWidth="1"/>
    <col min="13" max="13" width="16" customWidth="1"/>
    <col min="14" max="14" width="10.7109375" customWidth="1"/>
    <col min="15" max="15" width="8.7109375" customWidth="1"/>
    <col min="16" max="16384" width="9.140625" hidden="1"/>
  </cols>
  <sheetData>
    <row r="1" spans="1:15" ht="30" customHeight="1" x14ac:dyDescent="0.25">
      <c r="A1" s="1389" t="s">
        <v>1485</v>
      </c>
      <c r="B1" s="1390"/>
      <c r="C1" s="1390"/>
      <c r="D1" s="1390"/>
      <c r="E1" s="1390"/>
      <c r="F1" s="1390"/>
      <c r="G1" s="1390"/>
      <c r="H1" s="1390"/>
      <c r="I1" s="1390"/>
      <c r="J1" s="1393" t="s">
        <v>525</v>
      </c>
      <c r="K1" s="1393"/>
      <c r="L1" s="1393"/>
      <c r="M1" s="1393"/>
      <c r="N1" s="1393"/>
      <c r="O1" s="1393"/>
    </row>
    <row r="2" spans="1:15" ht="18" customHeight="1" x14ac:dyDescent="0.3">
      <c r="A2" s="962"/>
      <c r="B2" s="1391" t="s">
        <v>529</v>
      </c>
      <c r="C2" s="1391"/>
      <c r="D2" s="1391" t="s">
        <v>1623</v>
      </c>
      <c r="E2" s="1391"/>
      <c r="F2" s="962"/>
      <c r="G2" s="965"/>
      <c r="H2" s="966"/>
      <c r="I2" s="966"/>
      <c r="J2" s="1394"/>
      <c r="K2" s="1394"/>
      <c r="L2" s="963"/>
      <c r="M2" s="963"/>
      <c r="N2" s="962"/>
      <c r="O2" s="962"/>
    </row>
    <row r="3" spans="1:15" ht="18" customHeight="1" x14ac:dyDescent="0.3">
      <c r="A3" s="962"/>
      <c r="B3" s="1391" t="s">
        <v>526</v>
      </c>
      <c r="C3" s="1391"/>
      <c r="D3" s="1391" t="s">
        <v>1624</v>
      </c>
      <c r="E3" s="1391"/>
      <c r="F3" s="962"/>
      <c r="G3" s="965"/>
      <c r="H3" s="966"/>
      <c r="I3" s="966"/>
      <c r="J3" s="967"/>
      <c r="K3" s="967"/>
      <c r="L3" s="963"/>
      <c r="M3" s="963"/>
      <c r="N3" s="962"/>
      <c r="O3" s="962"/>
    </row>
    <row r="4" spans="1:15" ht="18" customHeight="1" x14ac:dyDescent="0.3">
      <c r="A4" s="962"/>
      <c r="B4" s="1391" t="s">
        <v>528</v>
      </c>
      <c r="C4" s="1391"/>
      <c r="D4" s="1391" t="s">
        <v>1625</v>
      </c>
      <c r="E4" s="1391"/>
      <c r="F4" s="962"/>
      <c r="G4" s="965"/>
      <c r="H4" s="966"/>
      <c r="I4" s="966"/>
      <c r="J4" s="967"/>
      <c r="K4" s="967"/>
      <c r="L4" s="962"/>
      <c r="M4" s="962"/>
      <c r="N4" s="962"/>
      <c r="O4" s="962"/>
    </row>
    <row r="5" spans="1:15" ht="18" customHeight="1" x14ac:dyDescent="0.3">
      <c r="A5" s="962"/>
      <c r="B5" s="1391" t="s">
        <v>527</v>
      </c>
      <c r="C5" s="1391"/>
      <c r="D5" s="1391"/>
      <c r="E5" s="1391"/>
      <c r="F5" s="962"/>
      <c r="G5" s="965"/>
      <c r="H5" s="966"/>
      <c r="I5" s="966"/>
      <c r="J5" s="962"/>
      <c r="K5" s="962"/>
      <c r="L5" s="962"/>
      <c r="M5" s="962"/>
      <c r="N5" s="962"/>
      <c r="O5" s="962"/>
    </row>
    <row r="6" spans="1:15" ht="7.5" customHeight="1" x14ac:dyDescent="0.25">
      <c r="A6" s="968"/>
      <c r="B6" s="968"/>
      <c r="C6" s="968"/>
      <c r="D6" s="968"/>
      <c r="E6" s="965"/>
      <c r="F6" s="965"/>
      <c r="G6" s="965"/>
      <c r="H6" s="966"/>
      <c r="I6" s="966"/>
      <c r="J6" s="966"/>
      <c r="K6" s="966"/>
      <c r="L6" s="969"/>
      <c r="M6" s="969"/>
      <c r="N6" s="969"/>
      <c r="O6" s="969"/>
    </row>
    <row r="7" spans="1:15" ht="12" customHeight="1" x14ac:dyDescent="0.25">
      <c r="A7" s="318"/>
      <c r="B7" s="384"/>
      <c r="C7" s="385"/>
      <c r="D7" s="385"/>
      <c r="E7" s="385"/>
      <c r="F7" s="385"/>
      <c r="G7" s="385"/>
      <c r="H7" s="385"/>
      <c r="I7" s="385"/>
      <c r="J7" s="385"/>
      <c r="K7" s="385"/>
      <c r="L7" s="318"/>
      <c r="M7" s="318"/>
      <c r="N7" s="318"/>
      <c r="O7" s="318"/>
    </row>
    <row r="8" spans="1:15" ht="33" customHeight="1" x14ac:dyDescent="0.25">
      <c r="A8" s="318"/>
      <c r="B8" s="1392" t="s">
        <v>2192</v>
      </c>
      <c r="C8" s="1392"/>
      <c r="D8" s="1392"/>
      <c r="E8" s="1392"/>
      <c r="F8" s="1392"/>
      <c r="G8" s="1392"/>
      <c r="H8" s="1392"/>
      <c r="I8" s="1392"/>
      <c r="J8" s="1392"/>
      <c r="K8" s="1392"/>
      <c r="L8" s="1392"/>
      <c r="M8" s="1392"/>
      <c r="N8" s="1392"/>
      <c r="O8" s="318"/>
    </row>
    <row r="9" spans="1:15" ht="9" customHeight="1" x14ac:dyDescent="0.25">
      <c r="A9" s="318"/>
      <c r="B9" s="386"/>
      <c r="C9" s="386"/>
      <c r="D9" s="386"/>
      <c r="E9" s="386"/>
      <c r="F9" s="386"/>
      <c r="G9" s="386"/>
      <c r="H9" s="386"/>
      <c r="I9" s="386"/>
      <c r="J9" s="386"/>
      <c r="K9" s="386"/>
      <c r="L9" s="386"/>
      <c r="M9" s="386"/>
      <c r="N9" s="386"/>
      <c r="O9" s="318"/>
    </row>
    <row r="10" spans="1:15" ht="19.5" customHeight="1" x14ac:dyDescent="0.25">
      <c r="A10" s="318"/>
      <c r="B10" s="1381" t="s">
        <v>1486</v>
      </c>
      <c r="C10" s="1381"/>
      <c r="D10" s="1381"/>
      <c r="E10" s="1381"/>
      <c r="F10" s="387"/>
      <c r="G10" s="387"/>
      <c r="H10" s="387"/>
      <c r="I10" s="387"/>
      <c r="J10" s="387"/>
      <c r="K10" s="387"/>
      <c r="L10" s="387"/>
      <c r="M10" s="387"/>
      <c r="N10" s="387"/>
      <c r="O10" s="318"/>
    </row>
    <row r="11" spans="1:15" ht="7.5" customHeight="1" x14ac:dyDescent="0.25">
      <c r="A11" s="318"/>
      <c r="B11" s="388"/>
      <c r="C11" s="388"/>
      <c r="D11" s="388"/>
      <c r="E11" s="388"/>
      <c r="F11" s="387"/>
      <c r="G11" s="387"/>
      <c r="H11" s="387"/>
      <c r="I11" s="387"/>
      <c r="J11" s="387"/>
      <c r="K11" s="387"/>
      <c r="L11" s="387"/>
      <c r="M11" s="387"/>
      <c r="N11" s="387"/>
      <c r="O11" s="318"/>
    </row>
    <row r="12" spans="1:15" ht="15" customHeight="1" x14ac:dyDescent="0.25">
      <c r="A12" s="318"/>
      <c r="B12" s="1387" t="s">
        <v>1487</v>
      </c>
      <c r="C12" s="1387"/>
      <c r="D12" s="1387"/>
      <c r="E12" s="1387"/>
      <c r="F12" s="1387"/>
      <c r="G12" s="1387"/>
      <c r="H12" s="1387"/>
      <c r="I12" s="1387"/>
      <c r="J12" s="1387"/>
      <c r="K12" s="1387"/>
      <c r="L12" s="1387"/>
      <c r="M12" s="1387"/>
      <c r="N12" s="1387"/>
      <c r="O12" s="318"/>
    </row>
    <row r="13" spans="1:15" x14ac:dyDescent="0.25">
      <c r="A13" s="318"/>
      <c r="B13" s="1388" t="s">
        <v>490</v>
      </c>
      <c r="C13" s="1378"/>
      <c r="D13" s="1378"/>
      <c r="E13" s="1378"/>
      <c r="F13" s="1378"/>
      <c r="G13" s="1378"/>
      <c r="H13" s="1378"/>
      <c r="I13" s="1378"/>
      <c r="J13" s="1378"/>
      <c r="K13" s="1378"/>
      <c r="L13" s="1378"/>
      <c r="M13" s="1378"/>
      <c r="N13" s="1378"/>
      <c r="O13" s="318"/>
    </row>
    <row r="14" spans="1:15" ht="15" customHeight="1" x14ac:dyDescent="0.25">
      <c r="A14" s="318"/>
      <c r="B14" s="1378" t="s">
        <v>491</v>
      </c>
      <c r="C14" s="1378"/>
      <c r="D14" s="1378"/>
      <c r="E14" s="1378"/>
      <c r="F14" s="1378"/>
      <c r="G14" s="1378"/>
      <c r="H14" s="1378"/>
      <c r="I14" s="1378"/>
      <c r="J14" s="1378"/>
      <c r="K14" s="1378"/>
      <c r="L14" s="1378"/>
      <c r="M14" s="1378"/>
      <c r="N14" s="1378"/>
      <c r="O14" s="318"/>
    </row>
    <row r="15" spans="1:15" ht="15" customHeight="1" x14ac:dyDescent="0.25">
      <c r="A15" s="318"/>
      <c r="B15" s="1378" t="s">
        <v>492</v>
      </c>
      <c r="C15" s="1378"/>
      <c r="D15" s="1378"/>
      <c r="E15" s="1378"/>
      <c r="F15" s="1378"/>
      <c r="G15" s="1378"/>
      <c r="H15" s="1378"/>
      <c r="I15" s="1378"/>
      <c r="J15" s="1378"/>
      <c r="K15" s="1378"/>
      <c r="L15" s="1378"/>
      <c r="M15" s="1378"/>
      <c r="N15" s="1378"/>
      <c r="O15" s="318"/>
    </row>
    <row r="16" spans="1:15" ht="15" customHeight="1" x14ac:dyDescent="0.25">
      <c r="A16" s="318"/>
      <c r="B16" s="1378" t="s">
        <v>494</v>
      </c>
      <c r="C16" s="1378"/>
      <c r="D16" s="1378"/>
      <c r="E16" s="1378"/>
      <c r="F16" s="1378"/>
      <c r="G16" s="1378"/>
      <c r="H16" s="1378"/>
      <c r="I16" s="1378"/>
      <c r="J16" s="1378"/>
      <c r="K16" s="1378"/>
      <c r="L16" s="1378"/>
      <c r="M16" s="1378"/>
      <c r="N16" s="1378"/>
      <c r="O16" s="318"/>
    </row>
    <row r="17" spans="1:15" ht="15" customHeight="1" x14ac:dyDescent="0.25">
      <c r="A17" s="318"/>
      <c r="B17" s="1378" t="s">
        <v>493</v>
      </c>
      <c r="C17" s="1378"/>
      <c r="D17" s="1378"/>
      <c r="E17" s="1378"/>
      <c r="F17" s="1378"/>
      <c r="G17" s="1378"/>
      <c r="H17" s="1378"/>
      <c r="I17" s="1378"/>
      <c r="J17" s="1378"/>
      <c r="K17" s="1378"/>
      <c r="L17" s="1378"/>
      <c r="M17" s="1378"/>
      <c r="N17" s="1378"/>
      <c r="O17" s="318"/>
    </row>
    <row r="18" spans="1:15" ht="15" customHeight="1" x14ac:dyDescent="0.25">
      <c r="A18" s="318"/>
      <c r="B18" s="1378" t="s">
        <v>1300</v>
      </c>
      <c r="C18" s="1378"/>
      <c r="D18" s="1378"/>
      <c r="E18" s="1378"/>
      <c r="F18" s="1378"/>
      <c r="G18" s="1378"/>
      <c r="H18" s="1378"/>
      <c r="I18" s="1378"/>
      <c r="J18" s="1378"/>
      <c r="K18" s="1378"/>
      <c r="L18" s="1378"/>
      <c r="M18" s="1378"/>
      <c r="N18" s="1378"/>
      <c r="O18" s="318"/>
    </row>
    <row r="19" spans="1:15" x14ac:dyDescent="0.25">
      <c r="A19" s="318"/>
      <c r="B19" s="1395" t="s">
        <v>2037</v>
      </c>
      <c r="C19" s="1395"/>
      <c r="D19" s="1395"/>
      <c r="E19" s="1395"/>
      <c r="F19" s="1395"/>
      <c r="G19" s="1395"/>
      <c r="H19" s="1395"/>
      <c r="I19" s="1395"/>
      <c r="J19" s="1395"/>
      <c r="K19" s="1395"/>
      <c r="L19" s="1395"/>
      <c r="M19" s="1395"/>
      <c r="N19" s="386"/>
      <c r="O19" s="318"/>
    </row>
    <row r="20" spans="1:15" ht="12.75" customHeight="1" x14ac:dyDescent="0.25">
      <c r="A20" s="318"/>
      <c r="B20" s="389"/>
      <c r="C20" s="768"/>
      <c r="D20" s="768"/>
      <c r="E20" s="768"/>
      <c r="F20" s="768"/>
      <c r="G20" s="768"/>
      <c r="H20" s="768"/>
      <c r="I20" s="768"/>
      <c r="J20" s="768"/>
      <c r="K20" s="768"/>
      <c r="L20" s="768"/>
      <c r="M20" s="768"/>
      <c r="N20" s="768"/>
      <c r="O20" s="318"/>
    </row>
    <row r="21" spans="1:15" ht="19.5" customHeight="1" x14ac:dyDescent="0.35">
      <c r="A21" s="318"/>
      <c r="B21" s="1386" t="s">
        <v>1488</v>
      </c>
      <c r="C21" s="1386"/>
      <c r="D21" s="1386"/>
      <c r="E21" s="1386"/>
      <c r="F21" s="386"/>
      <c r="G21" s="386"/>
      <c r="H21" s="386"/>
      <c r="I21" s="386"/>
      <c r="J21" s="386"/>
      <c r="K21" s="386"/>
      <c r="L21" s="386"/>
      <c r="M21" s="386"/>
      <c r="N21" s="386"/>
      <c r="O21" s="318"/>
    </row>
    <row r="22" spans="1:15" ht="7.5" customHeight="1" x14ac:dyDescent="0.25">
      <c r="A22" s="318"/>
      <c r="B22" s="386"/>
      <c r="C22" s="386"/>
      <c r="D22" s="386"/>
      <c r="E22" s="386"/>
      <c r="F22" s="386"/>
      <c r="G22" s="386"/>
      <c r="H22" s="386"/>
      <c r="I22" s="386"/>
      <c r="J22" s="386"/>
      <c r="K22" s="386"/>
      <c r="L22" s="386"/>
      <c r="M22" s="386"/>
      <c r="N22" s="386"/>
      <c r="O22" s="318"/>
    </row>
    <row r="23" spans="1:15" x14ac:dyDescent="0.25">
      <c r="A23" s="318"/>
      <c r="B23" s="1387" t="s">
        <v>1638</v>
      </c>
      <c r="C23" s="1387"/>
      <c r="D23" s="1387"/>
      <c r="E23" s="1387"/>
      <c r="F23" s="1387"/>
      <c r="G23" s="1387"/>
      <c r="H23" s="1387"/>
      <c r="I23" s="1387"/>
      <c r="J23" s="1387"/>
      <c r="K23" s="1387"/>
      <c r="L23" s="1387"/>
      <c r="M23" s="1387"/>
      <c r="N23" s="1387"/>
      <c r="O23" s="318"/>
    </row>
    <row r="24" spans="1:15" ht="15" customHeight="1" x14ac:dyDescent="0.25">
      <c r="A24" s="318"/>
      <c r="B24" s="1387" t="s">
        <v>1491</v>
      </c>
      <c r="C24" s="1387"/>
      <c r="D24" s="1387"/>
      <c r="E24" s="1387"/>
      <c r="F24" s="1387"/>
      <c r="G24" s="1387"/>
      <c r="H24" s="1387"/>
      <c r="I24" s="1387"/>
      <c r="J24" s="1387"/>
      <c r="K24" s="1387"/>
      <c r="L24" s="1387"/>
      <c r="M24" s="1387"/>
      <c r="N24" s="1387"/>
      <c r="O24" s="318"/>
    </row>
    <row r="25" spans="1:15" ht="12" customHeight="1" x14ac:dyDescent="0.25">
      <c r="A25" s="318"/>
      <c r="B25" s="386"/>
      <c r="C25" s="386"/>
      <c r="D25" s="386"/>
      <c r="E25" s="386"/>
      <c r="F25" s="386"/>
      <c r="G25" s="386"/>
      <c r="H25" s="386"/>
      <c r="I25" s="386"/>
      <c r="J25" s="386"/>
      <c r="K25" s="386"/>
      <c r="L25" s="386"/>
      <c r="M25" s="386"/>
      <c r="N25" s="386"/>
      <c r="O25" s="318"/>
    </row>
    <row r="26" spans="1:15" ht="19.5" customHeight="1" x14ac:dyDescent="0.25">
      <c r="A26" s="318"/>
      <c r="B26" s="1381" t="s">
        <v>1489</v>
      </c>
      <c r="C26" s="1381"/>
      <c r="D26" s="1381"/>
      <c r="E26" s="1381"/>
      <c r="F26" s="386"/>
      <c r="G26" s="386"/>
      <c r="H26" s="390"/>
      <c r="I26" s="386"/>
      <c r="J26" s="386"/>
      <c r="K26" s="386"/>
      <c r="L26" s="386"/>
      <c r="M26" s="386"/>
      <c r="N26" s="386"/>
      <c r="O26" s="318"/>
    </row>
    <row r="27" spans="1:15" ht="7.5" customHeight="1" x14ac:dyDescent="0.25">
      <c r="A27" s="318"/>
      <c r="B27" s="970"/>
      <c r="C27" s="386"/>
      <c r="D27" s="386"/>
      <c r="E27" s="386"/>
      <c r="F27" s="386"/>
      <c r="G27" s="386"/>
      <c r="H27" s="386"/>
      <c r="I27" s="386"/>
      <c r="J27" s="386"/>
      <c r="K27" s="386"/>
      <c r="L27" s="386"/>
      <c r="M27" s="386"/>
      <c r="N27" s="386"/>
      <c r="O27" s="318"/>
    </row>
    <row r="28" spans="1:15" ht="18" customHeight="1" x14ac:dyDescent="0.25">
      <c r="A28" s="318"/>
      <c r="B28" s="1382" t="s">
        <v>1490</v>
      </c>
      <c r="C28" s="1383"/>
      <c r="D28" s="1383"/>
      <c r="E28" s="1383"/>
      <c r="F28" s="1383"/>
      <c r="G28" s="1383"/>
      <c r="H28" s="1383"/>
      <c r="I28" s="1383"/>
      <c r="J28" s="1383"/>
      <c r="K28" s="1383"/>
      <c r="L28" s="1383"/>
      <c r="M28" s="1383"/>
      <c r="N28" s="1383"/>
      <c r="O28" s="318"/>
    </row>
    <row r="29" spans="1:15" ht="21" customHeight="1" x14ac:dyDescent="0.25">
      <c r="A29" s="318"/>
      <c r="B29" s="1384" t="s">
        <v>1301</v>
      </c>
      <c r="C29" s="1384"/>
      <c r="D29" s="1384"/>
      <c r="E29" s="1384"/>
      <c r="F29" s="1384"/>
      <c r="G29" s="1384"/>
      <c r="H29" s="1384"/>
      <c r="I29" s="1384"/>
      <c r="J29" s="1384"/>
      <c r="K29" s="1384"/>
      <c r="L29" s="1384"/>
      <c r="M29" s="1384"/>
      <c r="N29" s="1384"/>
      <c r="O29" s="318"/>
    </row>
    <row r="30" spans="1:15" ht="21" customHeight="1" x14ac:dyDescent="0.25">
      <c r="A30" s="318"/>
      <c r="B30" s="1385" t="s">
        <v>1328</v>
      </c>
      <c r="C30" s="1385"/>
      <c r="D30" s="1385"/>
      <c r="E30" s="1385"/>
      <c r="F30" s="1385"/>
      <c r="G30" s="1385"/>
      <c r="H30" s="1385"/>
      <c r="I30" s="1385"/>
      <c r="J30" s="1385"/>
      <c r="K30" s="1385"/>
      <c r="L30" s="1385"/>
      <c r="M30" s="1385"/>
      <c r="N30" s="1385"/>
      <c r="O30" s="318"/>
    </row>
    <row r="31" spans="1:15" ht="21" customHeight="1" x14ac:dyDescent="0.25">
      <c r="A31" s="318"/>
      <c r="B31" s="1385" t="s">
        <v>2259</v>
      </c>
      <c r="C31" s="1385"/>
      <c r="D31" s="1385"/>
      <c r="E31" s="1385"/>
      <c r="F31" s="1385"/>
      <c r="G31" s="1385"/>
      <c r="H31" s="1385"/>
      <c r="I31" s="1385"/>
      <c r="J31" s="1385"/>
      <c r="K31" s="1385"/>
      <c r="L31" s="1385"/>
      <c r="M31" s="1385"/>
      <c r="N31" s="1385"/>
      <c r="O31" s="318"/>
    </row>
    <row r="32" spans="1:15" ht="21" customHeight="1" x14ac:dyDescent="0.25">
      <c r="A32" s="318"/>
      <c r="B32" s="1385" t="s">
        <v>1302</v>
      </c>
      <c r="C32" s="1385"/>
      <c r="D32" s="1385"/>
      <c r="E32" s="1385"/>
      <c r="F32" s="1385"/>
      <c r="G32" s="1385"/>
      <c r="H32" s="1385"/>
      <c r="I32" s="1385"/>
      <c r="J32" s="1385"/>
      <c r="K32" s="1385"/>
      <c r="L32" s="1385"/>
      <c r="M32" s="1385"/>
      <c r="N32" s="1385"/>
      <c r="O32" s="318"/>
    </row>
    <row r="33" spans="1:17" ht="21" customHeight="1" x14ac:dyDescent="0.25">
      <c r="A33" s="318"/>
      <c r="B33" s="1385" t="s">
        <v>2260</v>
      </c>
      <c r="C33" s="1385"/>
      <c r="D33" s="1385"/>
      <c r="E33" s="1385"/>
      <c r="F33" s="1385"/>
      <c r="G33" s="1385"/>
      <c r="H33" s="1385"/>
      <c r="I33" s="1385"/>
      <c r="J33" s="1385"/>
      <c r="K33" s="1385"/>
      <c r="L33" s="1385"/>
      <c r="M33" s="1385"/>
      <c r="N33" s="1385"/>
      <c r="O33" s="318"/>
    </row>
    <row r="34" spans="1:17" ht="21" customHeight="1" x14ac:dyDescent="0.25">
      <c r="A34" s="318"/>
      <c r="B34" s="1385" t="s">
        <v>1980</v>
      </c>
      <c r="C34" s="1385"/>
      <c r="D34" s="1385"/>
      <c r="E34" s="1385"/>
      <c r="F34" s="1385"/>
      <c r="G34" s="1385"/>
      <c r="H34" s="1385"/>
      <c r="I34" s="1385"/>
      <c r="J34" s="1385"/>
      <c r="K34" s="1385"/>
      <c r="L34" s="1385"/>
      <c r="M34" s="1385"/>
      <c r="N34" s="1385"/>
      <c r="O34" s="318"/>
    </row>
    <row r="35" spans="1:17" ht="21" customHeight="1" x14ac:dyDescent="0.25">
      <c r="A35" s="318"/>
      <c r="B35" s="1385" t="s">
        <v>2261</v>
      </c>
      <c r="C35" s="1385"/>
      <c r="D35" s="1385"/>
      <c r="E35" s="1385"/>
      <c r="F35" s="1385"/>
      <c r="G35" s="1385"/>
      <c r="H35" s="1385"/>
      <c r="I35" s="1385"/>
      <c r="J35" s="1385"/>
      <c r="K35" s="1385"/>
      <c r="L35" s="1385"/>
      <c r="M35" s="1385"/>
      <c r="N35" s="1385"/>
      <c r="O35" s="318"/>
    </row>
    <row r="36" spans="1:17" ht="12" customHeight="1" x14ac:dyDescent="0.25">
      <c r="A36" s="318"/>
      <c r="B36" s="386"/>
      <c r="C36" s="386"/>
      <c r="D36" s="386"/>
      <c r="E36" s="386"/>
      <c r="F36" s="386"/>
      <c r="G36" s="386"/>
      <c r="H36" s="386"/>
      <c r="I36" s="386"/>
      <c r="J36" s="386"/>
      <c r="K36" s="386"/>
      <c r="L36" s="386"/>
      <c r="M36" s="386"/>
      <c r="N36" s="386"/>
      <c r="O36" s="318"/>
    </row>
    <row r="37" spans="1:17" ht="19.5" customHeight="1" x14ac:dyDescent="0.25">
      <c r="A37" s="318"/>
      <c r="B37" s="1381" t="s">
        <v>1492</v>
      </c>
      <c r="C37" s="1381"/>
      <c r="D37" s="1381"/>
      <c r="E37" s="1381"/>
      <c r="F37" s="386"/>
      <c r="G37" s="386"/>
      <c r="H37" s="386"/>
      <c r="I37" s="386"/>
      <c r="J37" s="386"/>
      <c r="K37" s="386"/>
      <c r="L37" s="386"/>
      <c r="M37" s="386"/>
      <c r="N37" s="386"/>
      <c r="O37" s="318"/>
    </row>
    <row r="38" spans="1:17" ht="7.5" customHeight="1" x14ac:dyDescent="0.25">
      <c r="A38" s="318"/>
      <c r="B38" s="388"/>
      <c r="C38" s="388"/>
      <c r="D38" s="388"/>
      <c r="E38" s="388"/>
      <c r="F38" s="386"/>
      <c r="G38" s="386"/>
      <c r="H38" s="386"/>
      <c r="I38" s="386"/>
      <c r="J38" s="386"/>
      <c r="K38" s="386"/>
      <c r="L38" s="386"/>
      <c r="M38" s="386"/>
      <c r="N38" s="386"/>
      <c r="O38" s="318"/>
    </row>
    <row r="39" spans="1:17" ht="65.25" customHeight="1" x14ac:dyDescent="0.25">
      <c r="A39" s="318"/>
      <c r="B39" s="1379" t="s">
        <v>2619</v>
      </c>
      <c r="C39" s="1380"/>
      <c r="D39" s="1380"/>
      <c r="E39" s="1380"/>
      <c r="F39" s="1380"/>
      <c r="G39" s="1380"/>
      <c r="H39" s="1380"/>
      <c r="I39" s="1380"/>
      <c r="J39" s="1380"/>
      <c r="K39" s="1380"/>
      <c r="L39" s="1380"/>
      <c r="M39" s="1380"/>
      <c r="N39" s="1380"/>
      <c r="O39" s="318"/>
    </row>
    <row r="40" spans="1:17" ht="9" customHeight="1" x14ac:dyDescent="0.25">
      <c r="A40" s="318"/>
      <c r="B40" s="1059"/>
      <c r="C40" s="1060"/>
      <c r="D40" s="1060"/>
      <c r="E40" s="1060"/>
      <c r="F40" s="1060"/>
      <c r="G40" s="1060"/>
      <c r="H40" s="1060"/>
      <c r="I40" s="1060"/>
      <c r="J40" s="1060"/>
      <c r="K40" s="1060"/>
      <c r="L40" s="1060"/>
      <c r="M40" s="1060"/>
      <c r="N40" s="1060"/>
      <c r="O40" s="1060"/>
      <c r="P40" s="1060"/>
      <c r="Q40" s="318"/>
    </row>
    <row r="41" spans="1:17" ht="19.5" customHeight="1" x14ac:dyDescent="0.25">
      <c r="A41" s="318"/>
      <c r="B41" s="971" t="s">
        <v>1784</v>
      </c>
      <c r="C41" s="388"/>
      <c r="D41" s="388"/>
      <c r="E41" s="388"/>
      <c r="F41" s="1061"/>
      <c r="G41" s="1061"/>
      <c r="H41" s="1061"/>
      <c r="I41" s="1061"/>
      <c r="J41" s="1061"/>
      <c r="K41" s="1061"/>
      <c r="L41" s="1061"/>
      <c r="M41" s="1061"/>
      <c r="N41" s="1061"/>
      <c r="O41" s="1061"/>
      <c r="P41" s="1061"/>
      <c r="Q41" s="318"/>
    </row>
    <row r="42" spans="1:17" ht="48.75" customHeight="1" x14ac:dyDescent="0.25">
      <c r="A42" s="318"/>
      <c r="B42" s="1380" t="s">
        <v>1785</v>
      </c>
      <c r="C42" s="1380"/>
      <c r="D42" s="1380"/>
      <c r="E42" s="1380"/>
      <c r="F42" s="1380"/>
      <c r="G42" s="1380"/>
      <c r="H42" s="1380"/>
      <c r="I42" s="1380"/>
      <c r="J42" s="1380"/>
      <c r="K42" s="1380"/>
      <c r="L42" s="1380"/>
      <c r="M42" s="1380"/>
      <c r="N42" s="1380"/>
      <c r="O42" s="1074"/>
      <c r="P42" s="1074"/>
      <c r="Q42" s="318"/>
    </row>
    <row r="43" spans="1:17" ht="9" customHeight="1" x14ac:dyDescent="0.25">
      <c r="A43" s="318"/>
      <c r="B43" s="391"/>
      <c r="C43" s="392"/>
      <c r="D43" s="392"/>
      <c r="E43" s="392"/>
      <c r="F43" s="392"/>
      <c r="G43" s="392"/>
      <c r="H43" s="392"/>
      <c r="I43" s="392"/>
      <c r="J43" s="392"/>
      <c r="K43" s="392"/>
      <c r="L43" s="392"/>
      <c r="M43" s="392"/>
      <c r="N43" s="392"/>
      <c r="O43" s="318"/>
    </row>
    <row r="44" spans="1:17" ht="15" customHeight="1" x14ac:dyDescent="0.25">
      <c r="A44" s="318"/>
      <c r="B44" s="971" t="s">
        <v>95</v>
      </c>
      <c r="C44" s="388"/>
      <c r="D44" s="388"/>
      <c r="E44" s="388"/>
      <c r="F44" s="386"/>
      <c r="G44" s="386"/>
      <c r="H44" s="386"/>
      <c r="I44" s="386"/>
      <c r="J44" s="386"/>
      <c r="K44" s="386"/>
      <c r="L44" s="386"/>
      <c r="M44" s="386"/>
      <c r="N44" s="386"/>
      <c r="O44" s="318"/>
    </row>
    <row r="45" spans="1:17" ht="33" customHeight="1" x14ac:dyDescent="0.25">
      <c r="A45" s="318"/>
      <c r="B45" s="1380" t="s">
        <v>228</v>
      </c>
      <c r="C45" s="1380"/>
      <c r="D45" s="1380"/>
      <c r="E45" s="1380"/>
      <c r="F45" s="1380"/>
      <c r="G45" s="1380"/>
      <c r="H45" s="1380"/>
      <c r="I45" s="1380"/>
      <c r="J45" s="1380"/>
      <c r="K45" s="1380"/>
      <c r="L45" s="1380"/>
      <c r="M45" s="1380"/>
      <c r="N45" s="1380"/>
      <c r="O45" s="318"/>
    </row>
    <row r="46" spans="1:17" ht="9" customHeight="1" x14ac:dyDescent="0.25">
      <c r="A46" s="318"/>
      <c r="B46" s="1060"/>
      <c r="C46" s="1060"/>
      <c r="D46" s="1060"/>
      <c r="E46" s="1060"/>
      <c r="F46" s="1060"/>
      <c r="G46" s="1060"/>
      <c r="H46" s="1060"/>
      <c r="I46" s="1060"/>
      <c r="J46" s="1060"/>
      <c r="K46" s="1060"/>
      <c r="L46" s="1060"/>
      <c r="M46" s="1060"/>
      <c r="N46" s="1060"/>
      <c r="O46" s="1060"/>
      <c r="P46" s="1060"/>
      <c r="Q46" s="318"/>
    </row>
    <row r="47" spans="1:17" ht="19.5" customHeight="1" x14ac:dyDescent="0.25">
      <c r="A47" s="318"/>
      <c r="B47" s="971" t="s">
        <v>1618</v>
      </c>
      <c r="C47" s="388"/>
      <c r="D47" s="388"/>
      <c r="E47" s="388"/>
      <c r="F47" s="1061"/>
      <c r="G47" s="1061"/>
      <c r="H47" s="1061"/>
      <c r="I47" s="1061"/>
      <c r="J47" s="1061"/>
      <c r="K47" s="1061"/>
      <c r="L47" s="1061"/>
      <c r="M47" s="1061"/>
      <c r="N47" s="1061"/>
      <c r="O47" s="1061"/>
      <c r="P47" s="1061"/>
      <c r="Q47" s="318"/>
    </row>
    <row r="48" spans="1:17" ht="43.5" customHeight="1" x14ac:dyDescent="0.25">
      <c r="A48" s="318"/>
      <c r="B48" s="1380" t="s">
        <v>1786</v>
      </c>
      <c r="C48" s="1380"/>
      <c r="D48" s="1380"/>
      <c r="E48" s="1380"/>
      <c r="F48" s="1380"/>
      <c r="G48" s="1380"/>
      <c r="H48" s="1380"/>
      <c r="I48" s="1380"/>
      <c r="J48" s="1380"/>
      <c r="K48" s="1380"/>
      <c r="L48" s="1380"/>
      <c r="M48" s="1380"/>
      <c r="N48" s="1380"/>
      <c r="O48" s="1074"/>
      <c r="P48" s="1074"/>
      <c r="Q48" s="318"/>
    </row>
    <row r="49" spans="1:15" ht="15" customHeight="1" x14ac:dyDescent="0.25">
      <c r="A49" s="318"/>
      <c r="B49" s="388"/>
      <c r="C49" s="388"/>
      <c r="D49" s="388"/>
      <c r="E49" s="388"/>
      <c r="F49" s="386"/>
      <c r="G49" s="386"/>
      <c r="H49" s="386"/>
      <c r="I49" s="386"/>
      <c r="J49" s="386"/>
      <c r="K49" s="386"/>
      <c r="L49" s="386"/>
      <c r="M49" s="386"/>
      <c r="N49" s="386"/>
      <c r="O49" s="318"/>
    </row>
    <row r="50" spans="1:15" ht="19.5" customHeight="1" x14ac:dyDescent="0.25">
      <c r="A50" s="318"/>
      <c r="B50" s="1381" t="s">
        <v>1627</v>
      </c>
      <c r="C50" s="1381"/>
      <c r="D50" s="1381"/>
      <c r="E50" s="1381"/>
      <c r="F50" s="1381"/>
      <c r="G50" s="386"/>
      <c r="H50" s="386"/>
      <c r="I50" s="386"/>
      <c r="J50" s="386"/>
      <c r="K50" s="386"/>
      <c r="L50" s="386"/>
      <c r="M50" s="386"/>
      <c r="N50" s="386"/>
      <c r="O50" s="318"/>
    </row>
    <row r="51" spans="1:15" ht="7.5" customHeight="1" x14ac:dyDescent="0.25">
      <c r="A51" s="318"/>
      <c r="B51" s="386"/>
      <c r="C51" s="386"/>
      <c r="D51" s="386"/>
      <c r="E51" s="386"/>
      <c r="F51" s="386"/>
      <c r="G51" s="386"/>
      <c r="H51" s="386"/>
      <c r="I51" s="386"/>
      <c r="J51" s="386"/>
      <c r="K51" s="386"/>
      <c r="L51" s="386"/>
      <c r="M51" s="386"/>
      <c r="N51" s="386"/>
      <c r="O51" s="318"/>
    </row>
    <row r="52" spans="1:15" ht="16.5" customHeight="1" x14ac:dyDescent="0.25">
      <c r="A52" s="318"/>
      <c r="B52" s="1380" t="s">
        <v>1761</v>
      </c>
      <c r="C52" s="1380"/>
      <c r="D52" s="1380"/>
      <c r="E52" s="1380"/>
      <c r="F52" s="1380"/>
      <c r="G52" s="1380"/>
      <c r="H52" s="1380"/>
      <c r="I52" s="1380"/>
      <c r="J52" s="1380"/>
      <c r="K52" s="1380"/>
      <c r="L52" s="1380"/>
      <c r="M52" s="1380"/>
      <c r="N52" s="1380"/>
      <c r="O52" s="318"/>
    </row>
    <row r="53" spans="1:15" ht="30.75" customHeight="1" x14ac:dyDescent="0.25">
      <c r="A53" s="318"/>
      <c r="B53" s="1380" t="s">
        <v>247</v>
      </c>
      <c r="C53" s="1380"/>
      <c r="D53" s="1380"/>
      <c r="E53" s="1380"/>
      <c r="F53" s="1380"/>
      <c r="G53" s="1380"/>
      <c r="H53" s="1380"/>
      <c r="I53" s="1380"/>
      <c r="J53" s="1380"/>
      <c r="K53" s="1380"/>
      <c r="L53" s="1380"/>
      <c r="M53" s="1380"/>
      <c r="N53" s="1380"/>
      <c r="O53" s="318"/>
    </row>
    <row r="54" spans="1:15" ht="13.5" customHeight="1" x14ac:dyDescent="0.25">
      <c r="A54" s="318"/>
      <c r="B54" s="386"/>
      <c r="C54" s="386"/>
      <c r="D54" s="386"/>
      <c r="E54" s="386"/>
      <c r="F54" s="386"/>
      <c r="G54" s="386"/>
      <c r="H54" s="386"/>
      <c r="I54" s="386"/>
      <c r="J54" s="386"/>
      <c r="K54" s="386"/>
      <c r="L54" s="386"/>
      <c r="M54" s="386"/>
      <c r="N54" s="386"/>
      <c r="O54" s="318"/>
    </row>
    <row r="55" spans="1:15" ht="15" customHeight="1" x14ac:dyDescent="0.25">
      <c r="A55" s="318"/>
      <c r="B55" s="386"/>
      <c r="C55" s="386"/>
      <c r="D55" s="386"/>
      <c r="E55" s="386"/>
      <c r="F55" s="386"/>
      <c r="G55" s="386"/>
      <c r="H55" s="386"/>
      <c r="I55" s="386"/>
      <c r="J55" s="386"/>
      <c r="K55" s="386"/>
      <c r="L55" s="386"/>
      <c r="M55" s="386"/>
      <c r="N55" s="386"/>
      <c r="O55" s="318"/>
    </row>
    <row r="56" spans="1:15" ht="15" customHeight="1" x14ac:dyDescent="0.25">
      <c r="A56" s="318"/>
      <c r="B56" s="386"/>
      <c r="C56" s="386"/>
      <c r="D56" s="386"/>
      <c r="E56" s="386"/>
      <c r="F56" s="386"/>
      <c r="G56" s="386"/>
      <c r="H56" s="386"/>
      <c r="I56" s="386"/>
      <c r="J56" s="386"/>
      <c r="K56" s="386"/>
      <c r="L56" s="386"/>
      <c r="M56" s="386"/>
      <c r="N56" s="386"/>
      <c r="O56" s="318"/>
    </row>
    <row r="57" spans="1:15" ht="11.25" customHeight="1" x14ac:dyDescent="0.25">
      <c r="A57" s="318"/>
      <c r="B57" s="386"/>
      <c r="C57" s="386"/>
      <c r="D57" s="386"/>
      <c r="E57" s="386"/>
      <c r="F57" s="386"/>
      <c r="G57" s="386"/>
      <c r="H57" s="386"/>
      <c r="I57" s="386"/>
      <c r="J57" s="386"/>
      <c r="K57" s="386"/>
      <c r="L57" s="386"/>
      <c r="M57" s="386"/>
      <c r="N57" s="386"/>
      <c r="O57" s="318"/>
    </row>
    <row r="58" spans="1:15" ht="15" customHeight="1" x14ac:dyDescent="0.25">
      <c r="A58" s="318"/>
      <c r="B58" s="389" t="s">
        <v>1762</v>
      </c>
      <c r="C58" s="386"/>
      <c r="D58" s="386"/>
      <c r="E58" s="386"/>
      <c r="F58" s="386"/>
      <c r="G58" s="386"/>
      <c r="H58" s="386"/>
      <c r="I58" s="386"/>
      <c r="J58" s="386"/>
      <c r="K58" s="386"/>
      <c r="L58" s="386"/>
      <c r="M58" s="386"/>
      <c r="N58" s="386"/>
      <c r="O58" s="318"/>
    </row>
    <row r="59" spans="1:15" ht="15" customHeight="1" x14ac:dyDescent="0.25">
      <c r="A59" s="318"/>
      <c r="B59" s="386"/>
      <c r="C59" s="386"/>
      <c r="D59" s="386"/>
      <c r="E59" s="386"/>
      <c r="F59" s="386"/>
      <c r="G59" s="386"/>
      <c r="H59" s="386"/>
      <c r="I59" s="386"/>
      <c r="J59" s="386"/>
      <c r="K59" s="386"/>
      <c r="L59" s="386"/>
      <c r="M59" s="386"/>
      <c r="N59" s="386"/>
      <c r="O59" s="318"/>
    </row>
    <row r="60" spans="1:15" ht="15" customHeight="1" x14ac:dyDescent="0.25">
      <c r="A60" s="318"/>
      <c r="B60" s="386"/>
      <c r="C60" s="386"/>
      <c r="D60" s="386"/>
      <c r="E60" s="386"/>
      <c r="F60" s="386"/>
      <c r="G60" s="386"/>
      <c r="H60" s="386"/>
      <c r="I60" s="386"/>
      <c r="J60" s="386"/>
      <c r="K60" s="386"/>
      <c r="L60" s="386"/>
      <c r="M60" s="386"/>
      <c r="N60" s="386"/>
      <c r="O60" s="318"/>
    </row>
    <row r="61" spans="1:15" ht="15" customHeight="1" x14ac:dyDescent="0.25">
      <c r="A61" s="318"/>
      <c r="B61" s="386"/>
      <c r="C61" s="386"/>
      <c r="D61" s="386"/>
      <c r="E61" s="386"/>
      <c r="F61" s="386"/>
      <c r="G61" s="386"/>
      <c r="H61" s="386"/>
      <c r="I61" s="386"/>
      <c r="J61" s="386"/>
      <c r="K61" s="386"/>
      <c r="L61" s="386"/>
      <c r="M61" s="386"/>
      <c r="N61" s="386"/>
      <c r="O61" s="318"/>
    </row>
    <row r="62" spans="1:15" ht="15" customHeight="1" x14ac:dyDescent="0.25">
      <c r="A62" s="318"/>
      <c r="B62" s="386"/>
      <c r="C62" s="386"/>
      <c r="D62" s="386"/>
      <c r="E62" s="386"/>
      <c r="F62" s="386"/>
      <c r="G62" s="386"/>
      <c r="H62" s="386"/>
      <c r="I62" s="386"/>
      <c r="J62" s="386"/>
      <c r="K62" s="386"/>
      <c r="L62" s="386"/>
      <c r="M62" s="386"/>
      <c r="N62" s="386"/>
      <c r="O62" s="318"/>
    </row>
    <row r="63" spans="1:15" ht="15" customHeight="1" x14ac:dyDescent="0.25">
      <c r="A63" s="318"/>
      <c r="B63" s="386"/>
      <c r="C63" s="386"/>
      <c r="D63" s="386"/>
      <c r="E63" s="386"/>
      <c r="F63" s="386"/>
      <c r="G63" s="386"/>
      <c r="H63" s="386"/>
      <c r="I63" s="386"/>
      <c r="J63" s="386"/>
      <c r="K63" s="386"/>
      <c r="L63" s="386"/>
      <c r="M63" s="386"/>
      <c r="N63" s="386"/>
      <c r="O63" s="318"/>
    </row>
    <row r="64" spans="1:15" ht="15" customHeight="1" x14ac:dyDescent="0.25">
      <c r="A64" s="318"/>
      <c r="B64" s="386"/>
      <c r="C64" s="386"/>
      <c r="D64" s="386"/>
      <c r="E64" s="386"/>
      <c r="F64" s="386"/>
      <c r="G64" s="386"/>
      <c r="H64" s="386"/>
      <c r="I64" s="386"/>
      <c r="J64" s="386"/>
      <c r="K64" s="386"/>
      <c r="L64" s="386"/>
      <c r="M64" s="386"/>
      <c r="N64" s="386"/>
      <c r="O64" s="318"/>
    </row>
    <row r="65" spans="1:15" ht="15" customHeight="1" x14ac:dyDescent="0.25">
      <c r="A65" s="318"/>
      <c r="B65" s="386"/>
      <c r="C65" s="386"/>
      <c r="D65" s="386"/>
      <c r="E65" s="386"/>
      <c r="F65" s="386"/>
      <c r="G65" s="386"/>
      <c r="H65" s="386"/>
      <c r="I65" s="386"/>
      <c r="J65" s="386"/>
      <c r="K65" s="386"/>
      <c r="L65" s="386"/>
      <c r="M65" s="386"/>
      <c r="N65" s="386"/>
      <c r="O65" s="318"/>
    </row>
    <row r="66" spans="1:15" ht="15" customHeight="1" x14ac:dyDescent="0.25">
      <c r="A66" s="318"/>
      <c r="B66" s="386"/>
      <c r="C66" s="386"/>
      <c r="D66" s="386"/>
      <c r="E66" s="386"/>
      <c r="F66" s="386"/>
      <c r="G66" s="386"/>
      <c r="H66" s="386"/>
      <c r="I66" s="386"/>
      <c r="J66" s="386"/>
      <c r="K66" s="386"/>
      <c r="L66" s="386"/>
      <c r="M66" s="386"/>
      <c r="N66" s="386"/>
      <c r="O66" s="318"/>
    </row>
    <row r="67" spans="1:15" ht="18" customHeight="1" x14ac:dyDescent="0.25">
      <c r="A67" s="318"/>
      <c r="B67" s="386"/>
      <c r="C67" s="386"/>
      <c r="D67" s="386"/>
      <c r="E67" s="386"/>
      <c r="F67" s="386"/>
      <c r="G67" s="386"/>
      <c r="H67" s="386"/>
      <c r="I67" s="386"/>
      <c r="J67" s="386"/>
      <c r="K67" s="386"/>
      <c r="L67" s="386"/>
      <c r="M67" s="386"/>
      <c r="N67" s="386"/>
      <c r="O67" s="318"/>
    </row>
    <row r="68" spans="1:15" ht="19.5" customHeight="1" x14ac:dyDescent="0.25">
      <c r="A68" s="318"/>
      <c r="B68" s="1381" t="s">
        <v>1626</v>
      </c>
      <c r="C68" s="1381"/>
      <c r="D68" s="1381"/>
      <c r="E68" s="1381"/>
      <c r="F68" s="386"/>
      <c r="G68" s="386"/>
      <c r="H68" s="386"/>
      <c r="I68" s="386"/>
      <c r="J68" s="386"/>
      <c r="K68" s="386"/>
      <c r="L68" s="386"/>
      <c r="M68" s="386"/>
      <c r="N68" s="386"/>
      <c r="O68" s="318"/>
    </row>
    <row r="69" spans="1:15" ht="15" customHeight="1" x14ac:dyDescent="0.25">
      <c r="A69" s="318"/>
      <c r="B69" s="386"/>
      <c r="C69" s="386"/>
      <c r="D69" s="386"/>
      <c r="E69" s="386"/>
      <c r="F69" s="386"/>
      <c r="G69" s="386"/>
      <c r="H69" s="386"/>
      <c r="I69" s="386"/>
      <c r="J69" s="386"/>
      <c r="K69" s="386"/>
      <c r="L69" s="386"/>
      <c r="M69" s="386"/>
      <c r="N69" s="386"/>
      <c r="O69" s="318"/>
    </row>
    <row r="70" spans="1:15" ht="15" customHeight="1" x14ac:dyDescent="0.25">
      <c r="A70" s="318"/>
      <c r="B70" s="394" t="s">
        <v>1509</v>
      </c>
      <c r="C70" s="386"/>
      <c r="D70" s="386"/>
      <c r="E70" s="386"/>
      <c r="F70" s="386"/>
      <c r="G70" s="386"/>
      <c r="H70" s="386"/>
      <c r="I70" s="386"/>
      <c r="J70" s="386"/>
      <c r="K70" s="386"/>
      <c r="L70" s="386"/>
      <c r="M70" s="386"/>
      <c r="N70" s="386"/>
      <c r="O70" s="318"/>
    </row>
    <row r="71" spans="1:15" ht="15" customHeight="1" x14ac:dyDescent="0.25">
      <c r="A71" s="318"/>
      <c r="B71" s="386"/>
      <c r="C71" s="386"/>
      <c r="D71" s="386"/>
      <c r="E71" s="386"/>
      <c r="F71" s="386"/>
      <c r="G71" s="386"/>
      <c r="H71" s="386"/>
      <c r="I71" s="386"/>
      <c r="J71" s="386"/>
      <c r="K71" s="386"/>
      <c r="L71" s="386"/>
      <c r="M71" s="386"/>
      <c r="N71" s="386"/>
      <c r="O71" s="318"/>
    </row>
    <row r="72" spans="1:15" ht="15" customHeight="1" x14ac:dyDescent="0.25">
      <c r="A72" s="318"/>
      <c r="B72" s="386"/>
      <c r="C72" s="386"/>
      <c r="D72" s="386"/>
      <c r="E72" s="386"/>
      <c r="F72" s="386"/>
      <c r="G72" s="386"/>
      <c r="H72" s="386"/>
      <c r="I72" s="386"/>
      <c r="J72" s="386"/>
      <c r="K72" s="386"/>
      <c r="L72" s="386"/>
      <c r="M72" s="386"/>
      <c r="N72" s="386"/>
      <c r="O72" s="318"/>
    </row>
    <row r="73" spans="1:15" ht="15" customHeight="1" x14ac:dyDescent="0.25">
      <c r="A73" s="318"/>
      <c r="B73" s="386"/>
      <c r="C73" s="386"/>
      <c r="D73" s="386"/>
      <c r="E73" s="386"/>
      <c r="F73" s="386"/>
      <c r="G73" s="386"/>
      <c r="H73" s="386"/>
      <c r="I73" s="386"/>
      <c r="J73" s="386"/>
      <c r="K73" s="386"/>
      <c r="L73" s="386"/>
      <c r="M73" s="386"/>
      <c r="N73" s="386"/>
      <c r="O73" s="318"/>
    </row>
    <row r="74" spans="1:15" ht="15" customHeight="1" x14ac:dyDescent="0.25">
      <c r="A74" s="318"/>
      <c r="B74" s="386"/>
      <c r="C74" s="386"/>
      <c r="D74" s="386"/>
      <c r="E74" s="386"/>
      <c r="F74" s="386"/>
      <c r="G74" s="386"/>
      <c r="H74" s="386"/>
      <c r="I74" s="386"/>
      <c r="J74" s="386"/>
      <c r="K74" s="386"/>
      <c r="L74" s="386"/>
      <c r="M74" s="386"/>
      <c r="N74" s="386"/>
      <c r="O74" s="318"/>
    </row>
    <row r="75" spans="1:15" ht="15" customHeight="1" x14ac:dyDescent="0.25">
      <c r="A75" s="318"/>
      <c r="B75" s="386"/>
      <c r="C75" s="386"/>
      <c r="D75" s="386"/>
      <c r="E75" s="386"/>
      <c r="F75" s="386"/>
      <c r="G75" s="386"/>
      <c r="H75" s="386"/>
      <c r="I75" s="386"/>
      <c r="J75" s="386"/>
      <c r="K75" s="386"/>
      <c r="L75" s="386"/>
      <c r="M75" s="386"/>
      <c r="N75" s="386"/>
      <c r="O75" s="318"/>
    </row>
    <row r="76" spans="1:15" ht="15" customHeight="1" x14ac:dyDescent="0.25">
      <c r="A76" s="318"/>
      <c r="B76" s="386"/>
      <c r="C76" s="386"/>
      <c r="D76" s="386"/>
      <c r="E76" s="386"/>
      <c r="F76" s="386"/>
      <c r="G76" s="386"/>
      <c r="H76" s="386"/>
      <c r="I76" s="386"/>
      <c r="J76" s="386"/>
      <c r="K76" s="386"/>
      <c r="L76" s="386"/>
      <c r="M76" s="386"/>
      <c r="N76" s="386"/>
      <c r="O76" s="318"/>
    </row>
    <row r="77" spans="1:15" ht="15" customHeight="1" x14ac:dyDescent="0.25">
      <c r="A77" s="318"/>
      <c r="B77" s="386"/>
      <c r="C77" s="386"/>
      <c r="D77" s="386"/>
      <c r="E77" s="386"/>
      <c r="F77" s="386"/>
      <c r="G77" s="386"/>
      <c r="H77" s="386"/>
      <c r="I77" s="386"/>
      <c r="J77" s="386"/>
      <c r="K77" s="386"/>
      <c r="L77" s="386"/>
      <c r="M77" s="386"/>
      <c r="N77" s="386"/>
      <c r="O77" s="318"/>
    </row>
    <row r="78" spans="1:15" ht="15" customHeight="1" x14ac:dyDescent="0.25">
      <c r="A78" s="318"/>
      <c r="B78" s="386"/>
      <c r="C78" s="386"/>
      <c r="D78" s="386"/>
      <c r="E78" s="386"/>
      <c r="F78" s="386"/>
      <c r="G78" s="386"/>
      <c r="H78" s="386"/>
      <c r="I78" s="386"/>
      <c r="J78" s="386"/>
      <c r="K78" s="386"/>
      <c r="L78" s="386"/>
      <c r="M78" s="386"/>
      <c r="N78" s="386"/>
      <c r="O78" s="318"/>
    </row>
    <row r="79" spans="1:15" ht="15" customHeight="1" x14ac:dyDescent="0.25">
      <c r="A79" s="318"/>
      <c r="B79" s="386"/>
      <c r="C79" s="386"/>
      <c r="D79" s="386"/>
      <c r="E79" s="386"/>
      <c r="F79" s="386"/>
      <c r="G79" s="386"/>
      <c r="H79" s="386"/>
      <c r="I79" s="386"/>
      <c r="J79" s="386"/>
      <c r="K79" s="386"/>
      <c r="L79" s="386"/>
      <c r="M79" s="386"/>
      <c r="N79" s="386"/>
      <c r="O79" s="318"/>
    </row>
    <row r="80" spans="1:15" x14ac:dyDescent="0.25">
      <c r="A80" s="318"/>
      <c r="B80" s="386"/>
      <c r="C80" s="386"/>
      <c r="D80" s="386"/>
      <c r="E80" s="386"/>
      <c r="F80" s="386"/>
      <c r="G80" s="386"/>
      <c r="H80" s="386"/>
      <c r="I80" s="386"/>
      <c r="J80" s="386"/>
      <c r="K80" s="386"/>
      <c r="L80" s="386"/>
      <c r="M80" s="386"/>
      <c r="N80" s="386"/>
      <c r="O80" s="318"/>
    </row>
    <row r="81" spans="1:15" ht="15" customHeight="1" x14ac:dyDescent="0.25">
      <c r="A81" s="318"/>
      <c r="B81" s="393"/>
      <c r="C81" s="393"/>
      <c r="D81" s="393"/>
      <c r="E81" s="393"/>
      <c r="F81" s="386"/>
      <c r="G81" s="386"/>
      <c r="H81" s="386"/>
      <c r="I81" s="386"/>
      <c r="J81" s="386"/>
      <c r="K81" s="386"/>
      <c r="L81" s="386"/>
      <c r="M81" s="386"/>
      <c r="N81" s="386"/>
      <c r="O81" s="318"/>
    </row>
    <row r="82" spans="1:15" x14ac:dyDescent="0.25">
      <c r="A82" s="318"/>
      <c r="B82" s="394"/>
      <c r="C82" s="386"/>
      <c r="D82" s="386"/>
      <c r="E82" s="386"/>
      <c r="F82" s="386"/>
      <c r="G82" s="386"/>
      <c r="H82" s="386"/>
      <c r="I82" s="386"/>
      <c r="J82" s="386"/>
      <c r="K82" s="386"/>
      <c r="L82" s="386"/>
      <c r="M82" s="386"/>
      <c r="N82" s="386"/>
      <c r="O82" s="318"/>
    </row>
    <row r="83" spans="1:15" x14ac:dyDescent="0.25">
      <c r="A83" s="318"/>
      <c r="B83" s="395"/>
      <c r="C83" s="386"/>
      <c r="D83" s="386"/>
      <c r="E83" s="386"/>
      <c r="F83" s="386"/>
      <c r="G83" s="386"/>
      <c r="H83" s="386"/>
      <c r="I83" s="386"/>
      <c r="J83" s="386"/>
      <c r="K83" s="386"/>
      <c r="L83" s="386"/>
      <c r="M83" s="386"/>
      <c r="N83" s="386"/>
      <c r="O83" s="318"/>
    </row>
    <row r="84" spans="1:15" ht="18.75" x14ac:dyDescent="0.25">
      <c r="A84" s="318"/>
      <c r="B84" s="971" t="s">
        <v>1043</v>
      </c>
      <c r="C84" s="675"/>
      <c r="D84" s="675"/>
      <c r="E84" s="675"/>
      <c r="F84" s="675"/>
      <c r="G84" s="675"/>
      <c r="H84" s="675"/>
      <c r="I84" s="675"/>
      <c r="J84" s="675"/>
      <c r="K84" s="675"/>
      <c r="L84" s="675"/>
      <c r="M84" s="675"/>
      <c r="N84" s="675"/>
      <c r="O84" s="675"/>
    </row>
    <row r="85" spans="1:15" ht="31.5" customHeight="1" x14ac:dyDescent="0.25">
      <c r="A85" s="318"/>
      <c r="B85" s="1374" t="s">
        <v>1715</v>
      </c>
      <c r="C85" s="1374"/>
      <c r="D85" s="1374"/>
      <c r="E85" s="1374"/>
      <c r="F85" s="1374"/>
      <c r="G85" s="1374"/>
      <c r="H85" s="1374"/>
      <c r="I85" s="1374"/>
      <c r="J85" s="1374"/>
      <c r="K85" s="1374"/>
      <c r="L85" s="1374"/>
      <c r="M85" s="1374"/>
      <c r="N85" s="1374"/>
      <c r="O85" s="387"/>
    </row>
    <row r="86" spans="1:15" ht="31.5" customHeight="1" x14ac:dyDescent="0.25">
      <c r="A86" s="318"/>
      <c r="B86" s="1374" t="s">
        <v>1716</v>
      </c>
      <c r="C86" s="1374"/>
      <c r="D86" s="1374"/>
      <c r="E86" s="1374"/>
      <c r="F86" s="1374"/>
      <c r="G86" s="1374"/>
      <c r="H86" s="1374"/>
      <c r="I86" s="1374"/>
      <c r="J86" s="1374"/>
      <c r="K86" s="1374"/>
      <c r="L86" s="1374"/>
      <c r="M86" s="1374"/>
      <c r="N86" s="1374"/>
      <c r="O86" s="919"/>
    </row>
    <row r="87" spans="1:15" ht="6" customHeight="1" x14ac:dyDescent="0.25">
      <c r="A87" s="318"/>
      <c r="B87" s="919"/>
      <c r="C87" s="919"/>
      <c r="D87" s="919"/>
      <c r="E87" s="919"/>
      <c r="F87" s="919"/>
      <c r="G87" s="919"/>
      <c r="H87" s="919"/>
      <c r="I87" s="919"/>
      <c r="J87" s="919"/>
      <c r="K87" s="919"/>
      <c r="L87" s="919"/>
      <c r="M87" s="919"/>
      <c r="N87" s="919"/>
      <c r="O87" s="919"/>
    </row>
    <row r="88" spans="1:15" ht="31.5" customHeight="1" x14ac:dyDescent="0.25">
      <c r="A88" s="318"/>
      <c r="B88" s="1374" t="s">
        <v>1717</v>
      </c>
      <c r="C88" s="1374"/>
      <c r="D88" s="1374"/>
      <c r="E88" s="1374"/>
      <c r="F88" s="1374"/>
      <c r="G88" s="1374"/>
      <c r="H88" s="1374"/>
      <c r="I88" s="1374"/>
      <c r="J88" s="1374"/>
      <c r="K88" s="1374"/>
      <c r="L88" s="1374"/>
      <c r="M88" s="1374"/>
      <c r="N88" s="1374"/>
      <c r="O88" s="919"/>
    </row>
    <row r="89" spans="1:15" ht="48.75" customHeight="1" x14ac:dyDescent="0.25">
      <c r="A89" s="318"/>
      <c r="B89" s="1374" t="s">
        <v>1981</v>
      </c>
      <c r="C89" s="1374"/>
      <c r="D89" s="1374"/>
      <c r="E89" s="1374"/>
      <c r="F89" s="1374"/>
      <c r="G89" s="1374"/>
      <c r="H89" s="1374"/>
      <c r="I89" s="1374"/>
      <c r="J89" s="1374"/>
      <c r="K89" s="1374"/>
      <c r="L89" s="1374"/>
      <c r="M89" s="1374"/>
      <c r="N89" s="1374"/>
      <c r="O89" s="919"/>
    </row>
    <row r="90" spans="1:15" x14ac:dyDescent="0.25">
      <c r="A90" s="318"/>
      <c r="B90" s="395"/>
      <c r="C90" s="675"/>
      <c r="D90" s="675"/>
      <c r="E90" s="675"/>
      <c r="F90" s="675"/>
      <c r="G90" s="675"/>
      <c r="H90" s="675"/>
      <c r="I90" s="675"/>
      <c r="J90" s="675"/>
      <c r="K90" s="675"/>
      <c r="L90" s="675"/>
      <c r="M90" s="675"/>
      <c r="N90" s="675"/>
      <c r="O90" s="318"/>
    </row>
    <row r="91" spans="1:15" ht="15" customHeight="1" x14ac:dyDescent="0.25">
      <c r="A91" s="318"/>
      <c r="B91" s="971" t="s">
        <v>488</v>
      </c>
      <c r="C91" s="386"/>
      <c r="D91" s="386"/>
      <c r="E91" s="386"/>
      <c r="F91" s="386"/>
      <c r="G91" s="386"/>
      <c r="H91" s="386"/>
      <c r="I91" s="386"/>
      <c r="J91" s="386"/>
      <c r="K91" s="386"/>
      <c r="L91" s="386"/>
      <c r="M91" s="386"/>
      <c r="N91" s="386"/>
      <c r="O91" s="318"/>
    </row>
    <row r="92" spans="1:15" ht="15" customHeight="1" x14ac:dyDescent="0.25">
      <c r="A92" s="318"/>
      <c r="B92" s="921" t="s">
        <v>1577</v>
      </c>
      <c r="C92" s="920"/>
      <c r="D92" s="920"/>
      <c r="E92" s="920"/>
      <c r="F92" s="920"/>
      <c r="G92" s="920"/>
      <c r="H92" s="920"/>
      <c r="I92" s="920"/>
      <c r="J92" s="920"/>
      <c r="K92" s="920"/>
      <c r="L92" s="920"/>
      <c r="M92" s="920"/>
      <c r="N92" s="920"/>
      <c r="O92" s="318"/>
    </row>
    <row r="93" spans="1:15" ht="15" customHeight="1" x14ac:dyDescent="0.25">
      <c r="A93" s="318"/>
      <c r="B93" s="921" t="s">
        <v>1578</v>
      </c>
      <c r="C93" s="920"/>
      <c r="D93" s="920"/>
      <c r="E93" s="920"/>
      <c r="F93" s="920"/>
      <c r="G93" s="920"/>
      <c r="H93" s="920"/>
      <c r="I93" s="920"/>
      <c r="J93" s="920"/>
      <c r="K93" s="920"/>
      <c r="L93" s="920"/>
      <c r="M93" s="920"/>
      <c r="N93" s="920"/>
      <c r="O93" s="318"/>
    </row>
    <row r="94" spans="1:15" ht="15" customHeight="1" x14ac:dyDescent="0.25">
      <c r="A94" s="318"/>
      <c r="B94" s="921" t="s">
        <v>1579</v>
      </c>
      <c r="C94" s="920"/>
      <c r="D94" s="920"/>
      <c r="E94" s="920"/>
      <c r="F94" s="920"/>
      <c r="G94" s="920"/>
      <c r="H94" s="920"/>
      <c r="I94" s="920"/>
      <c r="J94" s="920"/>
      <c r="K94" s="920"/>
      <c r="L94" s="920"/>
      <c r="M94" s="920"/>
      <c r="N94" s="920"/>
      <c r="O94" s="318"/>
    </row>
    <row r="95" spans="1:15" ht="15" customHeight="1" x14ac:dyDescent="0.25">
      <c r="A95" s="318"/>
      <c r="B95" s="921" t="s">
        <v>1982</v>
      </c>
      <c r="C95" s="920"/>
      <c r="D95" s="920"/>
      <c r="E95" s="920"/>
      <c r="F95" s="920"/>
      <c r="G95" s="920"/>
      <c r="H95" s="920"/>
      <c r="I95" s="920"/>
      <c r="J95" s="920"/>
      <c r="K95" s="920"/>
      <c r="L95" s="920"/>
      <c r="M95" s="920"/>
      <c r="N95" s="920"/>
      <c r="O95" s="318"/>
    </row>
    <row r="96" spans="1:15" ht="15" customHeight="1" x14ac:dyDescent="0.25">
      <c r="A96" s="318"/>
      <c r="B96" s="921" t="s">
        <v>1983</v>
      </c>
      <c r="C96" s="920"/>
      <c r="D96" s="920"/>
      <c r="E96" s="920"/>
      <c r="F96" s="920"/>
      <c r="G96" s="920"/>
      <c r="H96" s="920"/>
      <c r="I96" s="920"/>
      <c r="J96" s="920"/>
      <c r="K96" s="920"/>
      <c r="L96" s="920"/>
      <c r="M96" s="920"/>
      <c r="N96" s="920"/>
      <c r="O96" s="318"/>
    </row>
    <row r="97" spans="1:16" ht="15" customHeight="1" x14ac:dyDescent="0.25">
      <c r="A97" s="318"/>
      <c r="B97" s="1168"/>
      <c r="C97" s="1167"/>
      <c r="D97" s="1167"/>
      <c r="E97" s="1167"/>
      <c r="F97" s="1167"/>
      <c r="G97" s="1167"/>
      <c r="H97" s="1167"/>
      <c r="I97" s="1167"/>
      <c r="J97" s="1167"/>
      <c r="K97" s="1167"/>
      <c r="L97" s="1167"/>
      <c r="M97" s="1167"/>
      <c r="N97" s="1167"/>
      <c r="O97" s="318"/>
    </row>
    <row r="98" spans="1:16" x14ac:dyDescent="0.25">
      <c r="A98" s="318"/>
      <c r="B98" s="921" t="s">
        <v>1984</v>
      </c>
      <c r="C98" s="920"/>
      <c r="D98" s="920"/>
      <c r="E98" s="920"/>
      <c r="F98" s="920"/>
      <c r="G98" s="920"/>
      <c r="H98" s="920"/>
      <c r="I98" s="920"/>
      <c r="J98" s="920"/>
      <c r="K98" s="920"/>
      <c r="L98" s="920"/>
      <c r="M98" s="920"/>
      <c r="N98" s="920"/>
      <c r="O98" s="318"/>
    </row>
    <row r="99" spans="1:16" ht="15" customHeight="1" x14ac:dyDescent="0.25">
      <c r="A99" s="318"/>
      <c r="B99" s="972" t="s">
        <v>1628</v>
      </c>
      <c r="C99" s="863"/>
      <c r="D99" s="863"/>
      <c r="E99" s="863"/>
      <c r="F99" s="863"/>
      <c r="G99" s="863"/>
      <c r="H99" s="863"/>
      <c r="I99" s="863"/>
      <c r="J99" s="863"/>
      <c r="K99" s="863"/>
      <c r="L99" s="863"/>
      <c r="M99" s="863"/>
      <c r="N99" s="863"/>
      <c r="O99" s="318"/>
    </row>
    <row r="100" spans="1:16" ht="15" customHeight="1" x14ac:dyDescent="0.25">
      <c r="A100" s="318"/>
      <c r="B100" s="864" t="s">
        <v>1576</v>
      </c>
      <c r="C100" s="863"/>
      <c r="D100" s="863"/>
      <c r="E100" s="863"/>
      <c r="F100" s="863"/>
      <c r="G100" s="863"/>
      <c r="H100" s="863"/>
      <c r="I100" s="863"/>
      <c r="J100" s="863"/>
      <c r="K100" s="863"/>
      <c r="L100" s="863"/>
      <c r="M100" s="863"/>
      <c r="N100" s="863"/>
      <c r="O100" s="318"/>
    </row>
    <row r="101" spans="1:16" x14ac:dyDescent="0.25">
      <c r="A101" s="318"/>
      <c r="B101" s="396"/>
      <c r="C101" s="386"/>
      <c r="D101" s="386"/>
      <c r="E101" s="386"/>
      <c r="F101" s="386"/>
      <c r="G101" s="386"/>
      <c r="H101" s="386"/>
      <c r="I101" s="386"/>
      <c r="J101" s="386"/>
      <c r="K101" s="386"/>
      <c r="L101" s="386"/>
      <c r="M101" s="386"/>
      <c r="N101" s="386"/>
      <c r="O101" s="318"/>
    </row>
    <row r="102" spans="1:16" ht="18" customHeight="1" x14ac:dyDescent="0.25">
      <c r="A102" s="318"/>
      <c r="B102" s="971" t="s">
        <v>1580</v>
      </c>
      <c r="C102" s="395"/>
      <c r="D102" s="395"/>
      <c r="E102" s="395"/>
      <c r="F102" s="395"/>
      <c r="G102" s="395"/>
      <c r="H102" s="395"/>
      <c r="I102" s="395"/>
      <c r="J102" s="395"/>
      <c r="K102" s="395"/>
      <c r="L102" s="395"/>
      <c r="M102" s="395"/>
      <c r="N102" s="386"/>
      <c r="O102" s="318"/>
    </row>
    <row r="103" spans="1:16" ht="24" customHeight="1" x14ac:dyDescent="0.25">
      <c r="A103" s="318"/>
      <c r="B103" s="1396" t="s">
        <v>1985</v>
      </c>
      <c r="C103" s="1396"/>
      <c r="D103" s="1396"/>
      <c r="E103" s="1396"/>
      <c r="F103" s="1396"/>
      <c r="G103" s="1396"/>
      <c r="H103" s="1396"/>
      <c r="I103" s="1396"/>
      <c r="J103" s="1396"/>
      <c r="K103" s="1396"/>
      <c r="L103" s="1396"/>
      <c r="M103" s="1396"/>
      <c r="N103" s="1396"/>
      <c r="O103" s="1374"/>
      <c r="P103" s="1374"/>
    </row>
    <row r="104" spans="1:16" ht="18" customHeight="1" x14ac:dyDescent="0.25">
      <c r="A104" s="318"/>
      <c r="B104" s="1397" t="s">
        <v>1303</v>
      </c>
      <c r="C104" s="1397"/>
      <c r="D104" s="1397"/>
      <c r="E104" s="1397"/>
      <c r="F104" s="1397"/>
      <c r="G104" s="1397"/>
      <c r="H104" s="1397"/>
      <c r="I104" s="1397"/>
      <c r="J104" s="1397"/>
      <c r="K104" s="1397"/>
      <c r="L104" s="1397"/>
      <c r="M104" s="1397"/>
      <c r="N104" s="1397"/>
      <c r="O104" s="1374"/>
      <c r="P104" s="1374"/>
    </row>
    <row r="105" spans="1:16" ht="15" customHeight="1" x14ac:dyDescent="0.25">
      <c r="A105" s="318"/>
      <c r="B105" s="1374" t="s">
        <v>1581</v>
      </c>
      <c r="C105" s="1374"/>
      <c r="D105" s="1374"/>
      <c r="E105" s="1374"/>
      <c r="F105" s="1374"/>
      <c r="G105" s="1374"/>
      <c r="H105" s="1374"/>
      <c r="I105" s="1374"/>
      <c r="J105" s="1374"/>
      <c r="K105" s="1374"/>
      <c r="L105" s="1374"/>
      <c r="M105" s="1374"/>
      <c r="N105" s="1374"/>
      <c r="O105" s="919"/>
      <c r="P105" s="919"/>
    </row>
    <row r="106" spans="1:16" ht="15" customHeight="1" x14ac:dyDescent="0.25">
      <c r="A106" s="318"/>
      <c r="B106" s="1374" t="s">
        <v>1582</v>
      </c>
      <c r="C106" s="1374"/>
      <c r="D106" s="1374"/>
      <c r="E106" s="1374"/>
      <c r="F106" s="1374"/>
      <c r="G106" s="1374"/>
      <c r="H106" s="1374"/>
      <c r="I106" s="1374"/>
      <c r="J106" s="1374"/>
      <c r="K106" s="1374"/>
      <c r="L106" s="1374"/>
      <c r="M106" s="1374"/>
      <c r="N106" s="1374"/>
      <c r="O106" s="1374"/>
      <c r="P106" s="1374"/>
    </row>
    <row r="107" spans="1:16" ht="15" customHeight="1" x14ac:dyDescent="0.25">
      <c r="A107" s="318"/>
      <c r="B107" s="1374" t="s">
        <v>1989</v>
      </c>
      <c r="C107" s="1374"/>
      <c r="D107" s="1374"/>
      <c r="E107" s="1374"/>
      <c r="F107" s="1374"/>
      <c r="G107" s="1374"/>
      <c r="H107" s="1374"/>
      <c r="I107" s="1374"/>
      <c r="J107" s="1374"/>
      <c r="K107" s="1374"/>
      <c r="L107" s="1374"/>
      <c r="M107" s="1374"/>
      <c r="N107" s="1374"/>
      <c r="O107" s="1374"/>
      <c r="P107" s="1374"/>
    </row>
    <row r="108" spans="1:16" ht="18" customHeight="1" x14ac:dyDescent="0.25">
      <c r="A108" s="318"/>
      <c r="B108" s="1397" t="s">
        <v>1304</v>
      </c>
      <c r="C108" s="1397"/>
      <c r="D108" s="1397"/>
      <c r="E108" s="1397"/>
      <c r="F108" s="1397"/>
      <c r="G108" s="1397"/>
      <c r="H108" s="1397"/>
      <c r="I108" s="1397"/>
      <c r="J108" s="1397"/>
      <c r="K108" s="1397"/>
      <c r="L108" s="1397"/>
      <c r="M108" s="1397"/>
      <c r="N108" s="1397"/>
      <c r="O108" s="1374"/>
      <c r="P108" s="1374"/>
    </row>
    <row r="109" spans="1:16" ht="30.75" customHeight="1" x14ac:dyDescent="0.25">
      <c r="A109" s="318"/>
      <c r="B109" s="1374" t="s">
        <v>1583</v>
      </c>
      <c r="C109" s="1374"/>
      <c r="D109" s="1374"/>
      <c r="E109" s="1374"/>
      <c r="F109" s="1374"/>
      <c r="G109" s="1374"/>
      <c r="H109" s="1374"/>
      <c r="I109" s="1374"/>
      <c r="J109" s="1374"/>
      <c r="K109" s="1374"/>
      <c r="L109" s="1374"/>
      <c r="M109" s="1374"/>
      <c r="N109" s="1374"/>
      <c r="O109" s="1374"/>
      <c r="P109" s="1374"/>
    </row>
    <row r="110" spans="1:16" ht="31.5" customHeight="1" x14ac:dyDescent="0.25">
      <c r="A110" s="318"/>
      <c r="B110" s="1374" t="s">
        <v>1584</v>
      </c>
      <c r="C110" s="1374"/>
      <c r="D110" s="1374"/>
      <c r="E110" s="1374"/>
      <c r="F110" s="1374"/>
      <c r="G110" s="1374"/>
      <c r="H110" s="1374"/>
      <c r="I110" s="1374"/>
      <c r="J110" s="1374"/>
      <c r="K110" s="1374"/>
      <c r="L110" s="1374"/>
      <c r="M110" s="1374"/>
      <c r="N110" s="1374"/>
      <c r="O110" s="919"/>
      <c r="P110" s="919"/>
    </row>
    <row r="111" spans="1:16" ht="18" customHeight="1" x14ac:dyDescent="0.25">
      <c r="A111" s="318"/>
      <c r="B111" s="1397" t="s">
        <v>2262</v>
      </c>
      <c r="C111" s="1397"/>
      <c r="D111" s="1397"/>
      <c r="E111" s="1397"/>
      <c r="F111" s="1397"/>
      <c r="G111" s="1397"/>
      <c r="H111" s="1397"/>
      <c r="I111" s="1397"/>
      <c r="J111" s="1397"/>
      <c r="K111" s="1397"/>
      <c r="L111" s="1397"/>
      <c r="M111" s="1397"/>
      <c r="N111" s="1397"/>
      <c r="O111" s="1374"/>
      <c r="P111" s="1374"/>
    </row>
    <row r="112" spans="1:16" ht="31.5" customHeight="1" x14ac:dyDescent="0.25">
      <c r="A112" s="318"/>
      <c r="B112" s="1374" t="s">
        <v>2263</v>
      </c>
      <c r="C112" s="1374"/>
      <c r="D112" s="1374"/>
      <c r="E112" s="1374"/>
      <c r="F112" s="1374"/>
      <c r="G112" s="1374"/>
      <c r="H112" s="1374"/>
      <c r="I112" s="1374"/>
      <c r="J112" s="1374"/>
      <c r="K112" s="1374"/>
      <c r="L112" s="1374"/>
      <c r="M112" s="1374"/>
      <c r="N112" s="1374"/>
      <c r="O112" s="1374"/>
      <c r="P112" s="1374"/>
    </row>
    <row r="113" spans="1:16" ht="15" customHeight="1" x14ac:dyDescent="0.25">
      <c r="A113" s="318"/>
      <c r="B113" s="1374" t="s">
        <v>2264</v>
      </c>
      <c r="C113" s="1374"/>
      <c r="D113" s="1374"/>
      <c r="E113" s="1374"/>
      <c r="F113" s="1374"/>
      <c r="G113" s="1374"/>
      <c r="H113" s="1374"/>
      <c r="I113" s="1374"/>
      <c r="J113" s="1374"/>
      <c r="K113" s="1374"/>
      <c r="L113" s="1374"/>
      <c r="M113" s="1374"/>
      <c r="N113" s="1374"/>
      <c r="O113" s="1215"/>
      <c r="P113" s="1215"/>
    </row>
    <row r="114" spans="1:16" ht="32.25" customHeight="1" x14ac:dyDescent="0.25">
      <c r="A114" s="318"/>
      <c r="B114" s="1374" t="s">
        <v>2265</v>
      </c>
      <c r="C114" s="1374"/>
      <c r="D114" s="1374"/>
      <c r="E114" s="1374"/>
      <c r="F114" s="1374"/>
      <c r="G114" s="1374"/>
      <c r="H114" s="1374"/>
      <c r="I114" s="1374"/>
      <c r="J114" s="1374"/>
      <c r="K114" s="1374"/>
      <c r="L114" s="1374"/>
      <c r="M114" s="1374"/>
      <c r="N114" s="1374"/>
      <c r="O114" s="1374"/>
      <c r="P114" s="1374"/>
    </row>
    <row r="115" spans="1:16" ht="18" customHeight="1" x14ac:dyDescent="0.25">
      <c r="A115" s="318"/>
      <c r="B115" s="1397" t="s">
        <v>2266</v>
      </c>
      <c r="C115" s="1397"/>
      <c r="D115" s="1397"/>
      <c r="E115" s="1397"/>
      <c r="F115" s="1397"/>
      <c r="G115" s="1397"/>
      <c r="H115" s="1397"/>
      <c r="I115" s="1397"/>
      <c r="J115" s="1397"/>
      <c r="K115" s="1397"/>
      <c r="L115" s="1397"/>
      <c r="M115" s="1397"/>
      <c r="N115" s="1397"/>
      <c r="O115" s="1374"/>
      <c r="P115" s="1374"/>
    </row>
    <row r="116" spans="1:16" ht="46.5" customHeight="1" x14ac:dyDescent="0.25">
      <c r="A116" s="318"/>
      <c r="B116" s="1374" t="s">
        <v>2267</v>
      </c>
      <c r="C116" s="1374"/>
      <c r="D116" s="1374"/>
      <c r="E116" s="1374"/>
      <c r="F116" s="1374"/>
      <c r="G116" s="1374"/>
      <c r="H116" s="1374"/>
      <c r="I116" s="1374"/>
      <c r="J116" s="1374"/>
      <c r="K116" s="1374"/>
      <c r="L116" s="1374"/>
      <c r="M116" s="1374"/>
      <c r="N116" s="1374"/>
      <c r="O116" s="1374"/>
      <c r="P116" s="1374"/>
    </row>
    <row r="117" spans="1:16" ht="15" customHeight="1" x14ac:dyDescent="0.25">
      <c r="A117" s="318"/>
      <c r="B117" s="769"/>
      <c r="C117" s="769"/>
      <c r="D117" s="769"/>
      <c r="E117" s="769"/>
      <c r="F117" s="769"/>
      <c r="G117" s="769"/>
      <c r="H117" s="769"/>
      <c r="I117" s="769"/>
      <c r="J117" s="769"/>
      <c r="K117" s="769"/>
      <c r="L117" s="769"/>
      <c r="M117" s="769"/>
      <c r="N117" s="769"/>
      <c r="O117" s="318"/>
    </row>
    <row r="118" spans="1:16" ht="20.25" customHeight="1" x14ac:dyDescent="0.25">
      <c r="A118" s="318"/>
      <c r="B118" s="1398" t="s">
        <v>1637</v>
      </c>
      <c r="C118" s="1398"/>
      <c r="D118" s="1398"/>
      <c r="E118" s="1398"/>
      <c r="F118" s="577"/>
      <c r="G118" s="577"/>
      <c r="H118" s="577"/>
      <c r="I118" s="577"/>
      <c r="J118" s="577"/>
      <c r="K118" s="577"/>
      <c r="L118" s="577"/>
      <c r="M118" s="577"/>
      <c r="N118" s="578"/>
      <c r="O118" s="318"/>
    </row>
    <row r="119" spans="1:16" ht="15" customHeight="1" x14ac:dyDescent="0.25">
      <c r="A119" s="318"/>
      <c r="B119" s="577"/>
      <c r="C119" s="577"/>
      <c r="D119" s="577"/>
      <c r="E119" s="577"/>
      <c r="F119" s="577"/>
      <c r="G119" s="577"/>
      <c r="H119" s="577"/>
      <c r="I119" s="577"/>
      <c r="J119" s="577"/>
      <c r="K119" s="577"/>
      <c r="L119" s="577"/>
      <c r="M119" s="577"/>
      <c r="N119" s="578"/>
      <c r="O119" s="318"/>
    </row>
    <row r="120" spans="1:16" ht="15" customHeight="1" x14ac:dyDescent="0.25">
      <c r="A120" s="318"/>
      <c r="B120" s="971" t="s">
        <v>1993</v>
      </c>
      <c r="C120" s="395"/>
      <c r="D120" s="395"/>
      <c r="E120" s="395"/>
      <c r="F120" s="395"/>
      <c r="G120" s="395"/>
      <c r="H120" s="395"/>
      <c r="I120" s="395"/>
      <c r="J120" s="395"/>
      <c r="K120" s="395"/>
      <c r="L120" s="395"/>
      <c r="M120" s="395"/>
      <c r="N120" s="395"/>
      <c r="O120" s="9"/>
    </row>
    <row r="121" spans="1:16" ht="15" customHeight="1" x14ac:dyDescent="0.25">
      <c r="A121" s="318"/>
      <c r="B121" s="1375" t="s">
        <v>842</v>
      </c>
      <c r="C121" s="1375"/>
      <c r="D121" s="1375"/>
      <c r="E121" s="1375"/>
      <c r="F121" s="1375"/>
      <c r="G121" s="1375"/>
      <c r="H121" s="1375"/>
      <c r="I121" s="1375"/>
      <c r="J121" s="1375"/>
      <c r="K121" s="1375"/>
      <c r="L121" s="1375"/>
      <c r="M121" s="1375"/>
      <c r="N121" s="1375"/>
      <c r="O121" s="1375"/>
    </row>
    <row r="122" spans="1:16" ht="15" customHeight="1" x14ac:dyDescent="0.25">
      <c r="A122" s="318"/>
      <c r="B122" s="1375" t="s">
        <v>1870</v>
      </c>
      <c r="C122" s="1375"/>
      <c r="D122" s="1375"/>
      <c r="E122" s="1375"/>
      <c r="F122" s="1375"/>
      <c r="G122" s="1375"/>
      <c r="H122" s="1375"/>
      <c r="I122" s="1375"/>
      <c r="J122" s="1375"/>
      <c r="K122" s="1375"/>
      <c r="L122" s="1375"/>
      <c r="M122" s="1375"/>
      <c r="N122" s="1375"/>
      <c r="O122" s="1375"/>
    </row>
    <row r="123" spans="1:16" ht="31.5" customHeight="1" x14ac:dyDescent="0.25">
      <c r="A123" s="318"/>
      <c r="B123" s="1374" t="s">
        <v>1994</v>
      </c>
      <c r="C123" s="1374"/>
      <c r="D123" s="1374"/>
      <c r="E123" s="1374"/>
      <c r="F123" s="1374"/>
      <c r="G123" s="1374"/>
      <c r="H123" s="1374"/>
      <c r="I123" s="1374"/>
      <c r="J123" s="1374"/>
      <c r="K123" s="1374"/>
      <c r="L123" s="1374"/>
      <c r="M123" s="1374"/>
      <c r="N123" s="1374"/>
      <c r="O123" s="1166"/>
    </row>
    <row r="124" spans="1:16" ht="15" customHeight="1" x14ac:dyDescent="0.25">
      <c r="A124" s="318"/>
      <c r="B124" s="1376"/>
      <c r="C124" s="1376"/>
      <c r="D124" s="1376"/>
      <c r="E124" s="1376"/>
      <c r="F124" s="1376"/>
      <c r="G124" s="1376"/>
      <c r="H124" s="1376"/>
      <c r="I124" s="1376"/>
      <c r="J124" s="1376"/>
      <c r="K124" s="1376"/>
      <c r="L124" s="1376"/>
      <c r="M124" s="1376"/>
      <c r="N124" s="1376"/>
      <c r="O124" s="1376"/>
    </row>
    <row r="125" spans="1:16" ht="15" customHeight="1" x14ac:dyDescent="0.25">
      <c r="A125" s="318"/>
      <c r="B125" s="971" t="s">
        <v>1995</v>
      </c>
      <c r="C125" s="9"/>
      <c r="D125" s="9"/>
      <c r="E125" s="9"/>
      <c r="F125" s="9"/>
      <c r="G125" s="9"/>
      <c r="H125" s="9"/>
      <c r="I125" s="9"/>
      <c r="J125" s="9"/>
      <c r="K125" s="9"/>
      <c r="L125" s="9"/>
      <c r="M125" s="9"/>
      <c r="N125" s="9"/>
      <c r="O125" s="9"/>
    </row>
    <row r="126" spans="1:16" ht="6" customHeight="1" x14ac:dyDescent="0.25">
      <c r="A126" s="318"/>
      <c r="B126" s="9"/>
      <c r="C126" s="9"/>
      <c r="D126" s="9"/>
      <c r="E126" s="9"/>
      <c r="F126" s="9"/>
      <c r="G126" s="9"/>
      <c r="H126" s="9"/>
      <c r="I126" s="9"/>
      <c r="J126" s="9"/>
      <c r="K126" s="9"/>
      <c r="L126" s="9"/>
      <c r="M126" s="9"/>
      <c r="N126" s="9"/>
      <c r="O126" s="9"/>
    </row>
    <row r="127" spans="1:16" ht="31.5" customHeight="1" x14ac:dyDescent="0.25">
      <c r="A127" s="318"/>
      <c r="B127" s="1374" t="s">
        <v>1996</v>
      </c>
      <c r="C127" s="1374"/>
      <c r="D127" s="1374"/>
      <c r="E127" s="1374"/>
      <c r="F127" s="1374"/>
      <c r="G127" s="1374"/>
      <c r="H127" s="1374"/>
      <c r="I127" s="1374"/>
      <c r="J127" s="1374"/>
      <c r="K127" s="1374"/>
      <c r="L127" s="1374"/>
      <c r="M127" s="1374"/>
      <c r="N127" s="1374"/>
      <c r="O127" s="919"/>
    </row>
    <row r="128" spans="1:16" ht="15" customHeight="1" x14ac:dyDescent="0.25">
      <c r="A128" s="318"/>
      <c r="B128" s="1374" t="s">
        <v>1997</v>
      </c>
      <c r="C128" s="1374"/>
      <c r="D128" s="1374"/>
      <c r="E128" s="1374"/>
      <c r="F128" s="1374"/>
      <c r="G128" s="1374"/>
      <c r="H128" s="1374"/>
      <c r="I128" s="1374"/>
      <c r="J128" s="1374"/>
      <c r="K128" s="1374"/>
      <c r="L128" s="1374"/>
      <c r="M128" s="1374"/>
      <c r="N128" s="1374"/>
      <c r="O128" s="9"/>
    </row>
    <row r="129" spans="1:15" ht="9" customHeight="1" x14ac:dyDescent="0.25">
      <c r="A129" s="318"/>
      <c r="B129" s="9"/>
      <c r="C129" s="9"/>
      <c r="D129" s="9"/>
      <c r="E129" s="9"/>
      <c r="F129" s="9"/>
      <c r="G129" s="9"/>
      <c r="H129" s="9"/>
      <c r="I129" s="9"/>
      <c r="J129" s="9"/>
      <c r="K129" s="9"/>
      <c r="L129" s="9"/>
      <c r="M129" s="9"/>
      <c r="N129" s="9"/>
      <c r="O129" s="9"/>
    </row>
    <row r="130" spans="1:15" ht="15" customHeight="1" x14ac:dyDescent="0.25">
      <c r="A130" s="318"/>
      <c r="B130" s="971" t="s">
        <v>1871</v>
      </c>
      <c r="C130" s="9"/>
      <c r="D130" s="9"/>
      <c r="E130" s="9"/>
      <c r="F130" s="9"/>
      <c r="G130" s="9"/>
      <c r="H130" s="9"/>
      <c r="I130" s="9"/>
      <c r="J130" s="9"/>
      <c r="K130" s="9"/>
      <c r="L130" s="9"/>
      <c r="M130" s="9"/>
      <c r="N130" s="9"/>
      <c r="O130" s="9"/>
    </row>
    <row r="131" spans="1:15" ht="6" customHeight="1" x14ac:dyDescent="0.25">
      <c r="A131" s="318"/>
      <c r="B131" s="9"/>
      <c r="C131" s="9"/>
      <c r="D131" s="9"/>
      <c r="E131" s="9"/>
      <c r="F131" s="9"/>
      <c r="G131" s="9"/>
      <c r="H131" s="9"/>
      <c r="I131" s="9"/>
      <c r="J131" s="9"/>
      <c r="K131" s="9"/>
      <c r="L131" s="9"/>
      <c r="M131" s="9"/>
      <c r="N131" s="9"/>
      <c r="O131" s="9"/>
    </row>
    <row r="132" spans="1:15" ht="15" customHeight="1" x14ac:dyDescent="0.25">
      <c r="A132" s="318"/>
      <c r="B132" s="1374" t="s">
        <v>843</v>
      </c>
      <c r="C132" s="1374"/>
      <c r="D132" s="1374"/>
      <c r="E132" s="1374"/>
      <c r="F132" s="1374"/>
      <c r="G132" s="1374"/>
      <c r="H132" s="1374"/>
      <c r="I132" s="1374"/>
      <c r="J132" s="1374"/>
      <c r="K132" s="1374"/>
      <c r="L132" s="1374"/>
      <c r="M132" s="1374"/>
      <c r="N132" s="1374"/>
      <c r="O132" s="9"/>
    </row>
    <row r="133" spans="1:15" ht="15" customHeight="1" x14ac:dyDescent="0.25">
      <c r="A133" s="318"/>
      <c r="B133" s="1377" t="s">
        <v>2268</v>
      </c>
      <c r="C133" s="1377"/>
      <c r="D133" s="1377"/>
      <c r="E133" s="1377"/>
      <c r="F133" s="1377"/>
      <c r="G133" s="1377"/>
      <c r="H133" s="1377"/>
      <c r="I133" s="1377"/>
      <c r="J133" s="1377"/>
      <c r="K133" s="1377"/>
      <c r="L133" s="1377"/>
      <c r="M133" s="1377"/>
      <c r="N133" s="1377"/>
      <c r="O133" s="9"/>
    </row>
    <row r="134" spans="1:15" ht="15" customHeight="1" x14ac:dyDescent="0.25">
      <c r="A134" s="318"/>
      <c r="B134" s="1377" t="s">
        <v>1201</v>
      </c>
      <c r="C134" s="1377"/>
      <c r="D134" s="1377"/>
      <c r="E134" s="1377"/>
      <c r="F134" s="1377"/>
      <c r="G134" s="1377"/>
      <c r="H134" s="1377"/>
      <c r="I134" s="1377"/>
      <c r="J134" s="1377"/>
      <c r="K134" s="1377"/>
      <c r="L134" s="1377"/>
      <c r="M134" s="1377"/>
      <c r="N134" s="1377"/>
      <c r="O134" s="919"/>
    </row>
    <row r="135" spans="1:15" ht="15" customHeight="1" x14ac:dyDescent="0.25">
      <c r="A135" s="318"/>
      <c r="B135" s="1376"/>
      <c r="C135" s="1376"/>
      <c r="D135" s="1376"/>
      <c r="E135" s="1376"/>
      <c r="F135" s="1376"/>
      <c r="G135" s="1376"/>
      <c r="H135" s="1376"/>
      <c r="I135" s="1376"/>
      <c r="J135" s="1376"/>
      <c r="K135" s="1376"/>
      <c r="L135" s="1376"/>
      <c r="M135" s="1376"/>
      <c r="N135" s="1376"/>
      <c r="O135" s="1376"/>
    </row>
    <row r="136" spans="1:15" ht="15" customHeight="1" x14ac:dyDescent="0.25">
      <c r="A136" s="318"/>
      <c r="B136" s="971" t="s">
        <v>840</v>
      </c>
      <c r="C136" s="395"/>
      <c r="D136" s="395"/>
      <c r="E136" s="395"/>
      <c r="F136" s="395"/>
      <c r="G136" s="395"/>
      <c r="H136" s="395"/>
      <c r="I136" s="395"/>
      <c r="J136" s="395"/>
      <c r="K136" s="395"/>
      <c r="L136" s="395"/>
      <c r="M136" s="395"/>
      <c r="N136" s="395"/>
      <c r="O136" s="9"/>
    </row>
    <row r="137" spans="1:15" ht="15" customHeight="1" x14ac:dyDescent="0.25">
      <c r="A137" s="318"/>
      <c r="B137" s="1374" t="s">
        <v>1585</v>
      </c>
      <c r="C137" s="1374"/>
      <c r="D137" s="1374"/>
      <c r="E137" s="1374"/>
      <c r="F137" s="1374"/>
      <c r="G137" s="1374"/>
      <c r="H137" s="1374"/>
      <c r="I137" s="1374"/>
      <c r="J137" s="1374"/>
      <c r="K137" s="1374"/>
      <c r="L137" s="1374"/>
      <c r="M137" s="1374"/>
      <c r="N137" s="1374"/>
      <c r="O137" s="9"/>
    </row>
    <row r="138" spans="1:15" ht="15" customHeight="1" x14ac:dyDescent="0.25">
      <c r="A138" s="318"/>
      <c r="B138" s="1377" t="s">
        <v>1586</v>
      </c>
      <c r="C138" s="1377"/>
      <c r="D138" s="1377"/>
      <c r="E138" s="1377"/>
      <c r="F138" s="1377"/>
      <c r="G138" s="1377"/>
      <c r="H138" s="1377"/>
      <c r="I138" s="1377"/>
      <c r="J138" s="1377"/>
      <c r="K138" s="1377"/>
      <c r="L138" s="1377"/>
      <c r="M138" s="1377"/>
      <c r="N138" s="1377"/>
      <c r="O138" s="9"/>
    </row>
    <row r="139" spans="1:15" ht="15" customHeight="1" x14ac:dyDescent="0.25">
      <c r="A139" s="318"/>
      <c r="B139" s="1377" t="s">
        <v>1991</v>
      </c>
      <c r="C139" s="1377"/>
      <c r="D139" s="1377"/>
      <c r="E139" s="1377"/>
      <c r="F139" s="1377"/>
      <c r="G139" s="1377"/>
      <c r="H139" s="1377"/>
      <c r="I139" s="1377"/>
      <c r="J139" s="1377"/>
      <c r="K139" s="1377"/>
      <c r="L139" s="1377"/>
      <c r="M139" s="1377"/>
      <c r="N139" s="1377"/>
      <c r="O139" s="9"/>
    </row>
    <row r="140" spans="1:15" ht="15" customHeight="1" x14ac:dyDescent="0.25">
      <c r="A140" s="318"/>
      <c r="B140" s="1377" t="s">
        <v>1990</v>
      </c>
      <c r="C140" s="1377"/>
      <c r="D140" s="1377"/>
      <c r="E140" s="1377"/>
      <c r="F140" s="1377"/>
      <c r="G140" s="1377"/>
      <c r="H140" s="1377"/>
      <c r="I140" s="1377"/>
      <c r="J140" s="1377"/>
      <c r="K140" s="1377"/>
      <c r="L140" s="1377"/>
      <c r="M140" s="1377"/>
      <c r="N140" s="1377"/>
      <c r="O140" s="9"/>
    </row>
    <row r="141" spans="1:15" ht="15" customHeight="1" x14ac:dyDescent="0.25">
      <c r="A141" s="318"/>
      <c r="B141" s="1377" t="s">
        <v>1992</v>
      </c>
      <c r="C141" s="1377"/>
      <c r="D141" s="1377"/>
      <c r="E141" s="1377"/>
      <c r="F141" s="1377"/>
      <c r="G141" s="1377"/>
      <c r="H141" s="1377"/>
      <c r="I141" s="1377"/>
      <c r="J141" s="1377"/>
      <c r="K141" s="1377"/>
      <c r="L141" s="1377"/>
      <c r="M141" s="1377"/>
      <c r="N141" s="1377"/>
      <c r="O141" s="9"/>
    </row>
    <row r="142" spans="1:15" ht="15" customHeight="1" x14ac:dyDescent="0.25">
      <c r="A142" s="318"/>
      <c r="B142" s="1374" t="s">
        <v>841</v>
      </c>
      <c r="C142" s="1374"/>
      <c r="D142" s="1374"/>
      <c r="E142" s="1374"/>
      <c r="F142" s="1374"/>
      <c r="G142" s="1374"/>
      <c r="H142" s="1374"/>
      <c r="I142" s="1374"/>
      <c r="J142" s="1374"/>
      <c r="K142" s="1374"/>
      <c r="L142" s="1374"/>
      <c r="M142" s="1374"/>
      <c r="N142" s="1374"/>
      <c r="O142" s="9"/>
    </row>
    <row r="143" spans="1:15" ht="15" customHeight="1" x14ac:dyDescent="0.25">
      <c r="A143" s="318"/>
      <c r="B143" s="577"/>
      <c r="C143" s="577"/>
      <c r="D143" s="577"/>
      <c r="E143" s="577"/>
      <c r="F143" s="577"/>
      <c r="G143" s="577"/>
      <c r="H143" s="577"/>
      <c r="I143" s="577"/>
      <c r="J143" s="577"/>
      <c r="K143" s="577"/>
      <c r="L143" s="577"/>
      <c r="M143" s="577"/>
      <c r="N143" s="578"/>
      <c r="O143" s="318"/>
    </row>
    <row r="144" spans="1:15" ht="15" hidden="1" customHeight="1" x14ac:dyDescent="0.25">
      <c r="A144" s="318"/>
      <c r="B144" s="386"/>
      <c r="C144" s="386"/>
      <c r="D144" s="386"/>
      <c r="E144" s="386"/>
      <c r="F144" s="386"/>
      <c r="G144" s="386"/>
      <c r="H144" s="386"/>
      <c r="I144" s="386"/>
      <c r="J144" s="386"/>
      <c r="K144" s="386"/>
      <c r="L144" s="386"/>
      <c r="M144" s="386"/>
      <c r="N144" s="386"/>
      <c r="O144" s="318"/>
    </row>
    <row r="145" spans="1:15" ht="15" hidden="1" customHeight="1" x14ac:dyDescent="0.25">
      <c r="A145" s="318"/>
      <c r="B145" s="386"/>
      <c r="C145" s="386"/>
      <c r="D145" s="386"/>
      <c r="E145" s="386"/>
      <c r="F145" s="386"/>
      <c r="G145" s="386"/>
      <c r="H145" s="386"/>
      <c r="I145" s="386"/>
      <c r="J145" s="386"/>
      <c r="K145" s="386"/>
      <c r="L145" s="386"/>
      <c r="M145" s="386"/>
      <c r="N145" s="386"/>
      <c r="O145" s="318"/>
    </row>
    <row r="146" spans="1:15" ht="15" hidden="1" customHeight="1" x14ac:dyDescent="0.25">
      <c r="A146" s="34"/>
      <c r="B146" s="351"/>
      <c r="C146" s="351"/>
      <c r="D146" s="351"/>
      <c r="E146" s="351"/>
      <c r="F146" s="351"/>
      <c r="G146" s="351"/>
      <c r="H146" s="351"/>
      <c r="I146" s="351"/>
      <c r="J146" s="351"/>
      <c r="K146" s="351"/>
      <c r="L146" s="351"/>
      <c r="M146" s="351"/>
      <c r="N146" s="351"/>
      <c r="O146" s="34"/>
    </row>
    <row r="147" spans="1:15" ht="18.75" hidden="1" x14ac:dyDescent="0.3">
      <c r="A147" s="34"/>
      <c r="B147" s="37"/>
      <c r="C147" s="36"/>
      <c r="D147" s="36"/>
      <c r="E147" s="36"/>
      <c r="F147" s="36"/>
      <c r="G147" s="36"/>
      <c r="H147" s="36"/>
      <c r="I147" s="36"/>
      <c r="J147" s="36"/>
      <c r="K147" s="36"/>
      <c r="L147" s="36"/>
      <c r="M147" s="36"/>
      <c r="N147" s="36"/>
      <c r="O147" s="34"/>
    </row>
    <row r="148" spans="1:15" ht="18.75" hidden="1" x14ac:dyDescent="0.3">
      <c r="A148" s="34"/>
      <c r="B148" s="37"/>
      <c r="C148" s="36"/>
      <c r="D148" s="36"/>
      <c r="E148" s="36"/>
      <c r="F148" s="36"/>
      <c r="G148" s="36"/>
      <c r="H148" s="36"/>
      <c r="I148" s="36"/>
      <c r="J148" s="36"/>
      <c r="K148" s="36"/>
      <c r="L148" s="36"/>
      <c r="M148" s="36"/>
      <c r="N148" s="36"/>
      <c r="O148" s="34"/>
    </row>
    <row r="149" spans="1:15" ht="18.75" hidden="1" x14ac:dyDescent="0.3">
      <c r="A149" s="34"/>
      <c r="B149" s="37"/>
      <c r="C149" s="36"/>
      <c r="D149" s="36"/>
      <c r="E149" s="36"/>
      <c r="F149" s="36"/>
      <c r="G149" s="36"/>
      <c r="H149" s="36"/>
      <c r="I149" s="36"/>
      <c r="J149" s="36"/>
      <c r="K149" s="36"/>
      <c r="L149" s="36"/>
      <c r="M149" s="36"/>
      <c r="N149" s="36"/>
      <c r="O149" s="34"/>
    </row>
    <row r="150" spans="1:15" ht="18.75" hidden="1" x14ac:dyDescent="0.3">
      <c r="A150" s="34"/>
      <c r="B150" s="37"/>
      <c r="C150" s="36"/>
      <c r="D150" s="36"/>
      <c r="E150" s="36"/>
      <c r="F150" s="36"/>
      <c r="G150" s="36"/>
      <c r="H150" s="36"/>
      <c r="I150" s="36"/>
      <c r="J150" s="36"/>
      <c r="K150" s="36"/>
      <c r="L150" s="36"/>
      <c r="M150" s="36"/>
      <c r="N150" s="36"/>
      <c r="O150" s="34"/>
    </row>
    <row r="151" spans="1:15" ht="18.75" hidden="1" x14ac:dyDescent="0.3">
      <c r="A151" s="34"/>
      <c r="B151" s="37"/>
      <c r="C151" s="36"/>
      <c r="D151" s="36"/>
      <c r="E151" s="36"/>
      <c r="F151" s="36"/>
      <c r="G151" s="36"/>
      <c r="H151" s="36"/>
      <c r="I151" s="36"/>
      <c r="J151" s="36"/>
      <c r="K151" s="36"/>
      <c r="L151" s="36"/>
      <c r="M151" s="36"/>
      <c r="N151" s="36"/>
      <c r="O151" s="34"/>
    </row>
    <row r="152" spans="1:15" ht="18.75" hidden="1" x14ac:dyDescent="0.3">
      <c r="A152" s="34"/>
      <c r="B152" s="37"/>
      <c r="C152" s="36"/>
      <c r="D152" s="36"/>
      <c r="E152" s="36"/>
      <c r="F152" s="36"/>
      <c r="G152" s="36"/>
      <c r="H152" s="36"/>
      <c r="I152" s="36"/>
      <c r="J152" s="36"/>
      <c r="K152" s="36"/>
      <c r="L152" s="36"/>
      <c r="M152" s="36"/>
      <c r="N152" s="36"/>
      <c r="O152" s="34"/>
    </row>
    <row r="153" spans="1:15" hidden="1" x14ac:dyDescent="0.25">
      <c r="A153" s="34"/>
      <c r="B153" s="38"/>
      <c r="C153" s="38"/>
      <c r="D153" s="38"/>
      <c r="E153" s="38"/>
      <c r="F153" s="38"/>
      <c r="G153" s="271"/>
      <c r="H153" s="38"/>
      <c r="I153" s="38"/>
      <c r="J153" s="38"/>
      <c r="K153" s="38"/>
      <c r="L153" s="38"/>
      <c r="M153" s="51"/>
      <c r="N153" s="36"/>
      <c r="O153" s="34"/>
    </row>
    <row r="154" spans="1:15" hidden="1" x14ac:dyDescent="0.25"/>
    <row r="155" spans="1:15" hidden="1" x14ac:dyDescent="0.25"/>
    <row r="156" spans="1:15" hidden="1" x14ac:dyDescent="0.25"/>
    <row r="157" spans="1:15" hidden="1" x14ac:dyDescent="0.25"/>
    <row r="158" spans="1:15" hidden="1" x14ac:dyDescent="0.25"/>
    <row r="159" spans="1:15" hidden="1" x14ac:dyDescent="0.25"/>
    <row r="160" spans="1:15"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sheetData>
  <sheetProtection algorithmName="SHA-512" hashValue="EHe2YqlmGLAiRmZBR/k5RD/W17Zf+TYKHakFxRtNicNdoZeV7JAcsKixiwV0f31T23YrQNqYrWAV2rwWSg08JA==" saltValue="ILV+rKQFdgKNcf3snVRjuw==" spinCount="100000" sheet="1" objects="1" scenarios="1" formatRows="0"/>
  <mergeCells count="88">
    <mergeCell ref="B110:N110"/>
    <mergeCell ref="B118:E118"/>
    <mergeCell ref="B121:O121"/>
    <mergeCell ref="B133:N133"/>
    <mergeCell ref="B134:N134"/>
    <mergeCell ref="B127:N127"/>
    <mergeCell ref="B128:N128"/>
    <mergeCell ref="B132:N132"/>
    <mergeCell ref="B111:N111"/>
    <mergeCell ref="O111:P111"/>
    <mergeCell ref="B113:N113"/>
    <mergeCell ref="B115:N115"/>
    <mergeCell ref="O115:P115"/>
    <mergeCell ref="B116:N116"/>
    <mergeCell ref="O116:P116"/>
    <mergeCell ref="O107:P107"/>
    <mergeCell ref="B108:N108"/>
    <mergeCell ref="O108:P108"/>
    <mergeCell ref="B109:N109"/>
    <mergeCell ref="O109:P109"/>
    <mergeCell ref="O103:P103"/>
    <mergeCell ref="B104:N104"/>
    <mergeCell ref="O104:P104"/>
    <mergeCell ref="B106:N106"/>
    <mergeCell ref="O106:P106"/>
    <mergeCell ref="B105:N105"/>
    <mergeCell ref="B85:N85"/>
    <mergeCell ref="B86:N86"/>
    <mergeCell ref="B88:N88"/>
    <mergeCell ref="B89:N89"/>
    <mergeCell ref="B107:N107"/>
    <mergeCell ref="B103:N103"/>
    <mergeCell ref="B19:M19"/>
    <mergeCell ref="B33:N33"/>
    <mergeCell ref="B68:E68"/>
    <mergeCell ref="B52:N52"/>
    <mergeCell ref="B53:N53"/>
    <mergeCell ref="B37:E37"/>
    <mergeCell ref="B45:N45"/>
    <mergeCell ref="B50:F50"/>
    <mergeCell ref="B42:N42"/>
    <mergeCell ref="B48:N48"/>
    <mergeCell ref="B10:E10"/>
    <mergeCell ref="B12:N12"/>
    <mergeCell ref="B13:N13"/>
    <mergeCell ref="B14:N14"/>
    <mergeCell ref="A1:I1"/>
    <mergeCell ref="B2:C2"/>
    <mergeCell ref="B3:C3"/>
    <mergeCell ref="B4:C4"/>
    <mergeCell ref="B5:C5"/>
    <mergeCell ref="D2:E2"/>
    <mergeCell ref="B8:N8"/>
    <mergeCell ref="J1:O1"/>
    <mergeCell ref="J2:K2"/>
    <mergeCell ref="D3:E3"/>
    <mergeCell ref="D4:E4"/>
    <mergeCell ref="D5:E5"/>
    <mergeCell ref="B15:N15"/>
    <mergeCell ref="B39:N39"/>
    <mergeCell ref="B26:E26"/>
    <mergeCell ref="B28:N28"/>
    <mergeCell ref="B29:N29"/>
    <mergeCell ref="B30:N30"/>
    <mergeCell ref="B31:N31"/>
    <mergeCell ref="B32:N32"/>
    <mergeCell ref="B34:N34"/>
    <mergeCell ref="B35:N35"/>
    <mergeCell ref="B21:E21"/>
    <mergeCell ref="B16:N16"/>
    <mergeCell ref="B17:N17"/>
    <mergeCell ref="B23:N23"/>
    <mergeCell ref="B24:N24"/>
    <mergeCell ref="B18:N18"/>
    <mergeCell ref="B142:N142"/>
    <mergeCell ref="B123:N123"/>
    <mergeCell ref="B122:O122"/>
    <mergeCell ref="B124:O124"/>
    <mergeCell ref="B112:N112"/>
    <mergeCell ref="O112:P112"/>
    <mergeCell ref="B114:N114"/>
    <mergeCell ref="O114:P114"/>
    <mergeCell ref="B141:N141"/>
    <mergeCell ref="B135:O135"/>
    <mergeCell ref="B138:N138"/>
    <mergeCell ref="B140:N140"/>
    <mergeCell ref="B139:N139"/>
    <mergeCell ref="B137:N137"/>
  </mergeCells>
  <hyperlinks>
    <hyperlink ref="B3" location="Instructions!B16" tooltip="How to use this tool?" display="2. How to use this tool?" xr:uid="{00000000-0004-0000-0300-000000000000}"/>
    <hyperlink ref="B2" location="Instructions!B8" tooltip="General" display="1. General" xr:uid="{00000000-0004-0000-0300-000001000000}"/>
    <hyperlink ref="B4" location="Instructions!B35" tooltip="LOTUS Homes Submissions" display="3. LOTUS Homes Submissions" xr:uid="{00000000-0004-0000-0300-000002000000}"/>
    <hyperlink ref="B5" location="Instructions!B35" tooltip="LOTUS Homes Submissions" display="3. LOTUS Homes Submissions" xr:uid="{00000000-0004-0000-0300-000003000000}"/>
    <hyperlink ref="B2:C2" location="Introduction!B10" tooltip="Scope" display="1. Scope" xr:uid="{00000000-0004-0000-0300-000004000000}"/>
    <hyperlink ref="B3:C3" location="Introduction!B21" tooltip="Eligibility" display="2. Eligibility" xr:uid="{00000000-0004-0000-0300-000005000000}"/>
    <hyperlink ref="B4:C4" location="Introduction!B26" tooltip="Categories" display="3. Categories" xr:uid="{00000000-0004-0000-0300-000006000000}"/>
    <hyperlink ref="B5:C5" location="Introduction!B38" tooltip="Credits" display="4. Credits" xr:uid="{00000000-0004-0000-0300-000007000000}"/>
    <hyperlink ref="D2:E2" location="Introduction!B51" tooltip="Certification Levels" display="5. Certification Levels" xr:uid="{00000000-0004-0000-0300-000008000000}"/>
    <hyperlink ref="D3:E3" location="Introduction!B69" tooltip="Certification Process" display="6. Certification Process" xr:uid="{00000000-0004-0000-0300-000009000000}"/>
    <hyperlink ref="D4:E4" location="Introduction!B115" tooltip="Submissions" display="7. Submissions" xr:uid="{00000000-0004-0000-0300-00000A000000}"/>
  </hyperlinks>
  <pageMargins left="0.7" right="0.7" top="0.75" bottom="0.75" header="0.3" footer="0.3"/>
  <pageSetup orientation="portrait"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76923C"/>
  </sheetPr>
  <dimension ref="A1:P171"/>
  <sheetViews>
    <sheetView showRowColHeaders="0" workbookViewId="0">
      <pane ySplit="8" topLeftCell="A9" activePane="bottomLeft" state="frozen"/>
      <selection activeCell="I2" sqref="I2:J4"/>
      <selection pane="bottomLeft" activeCell="A5" sqref="A5:M7"/>
    </sheetView>
  </sheetViews>
  <sheetFormatPr defaultColWidth="0" defaultRowHeight="15" customHeight="1" zeroHeight="1" x14ac:dyDescent="0.25"/>
  <cols>
    <col min="1" max="1" width="3.7109375" style="35" customWidth="1"/>
    <col min="2" max="2" width="18.42578125" style="35" customWidth="1"/>
    <col min="3" max="3" width="18.7109375" style="35" customWidth="1"/>
    <col min="4" max="5" width="18.42578125" style="35" customWidth="1"/>
    <col min="6" max="6" width="17.28515625" style="35" customWidth="1"/>
    <col min="7" max="7" width="21" style="35" customWidth="1"/>
    <col min="8" max="8" width="22" style="35" customWidth="1"/>
    <col min="9" max="13" width="8.7109375" style="35" customWidth="1"/>
    <col min="14" max="14" width="9.140625" style="35" hidden="1" customWidth="1"/>
    <col min="15" max="15" width="23.7109375" style="35" hidden="1" customWidth="1"/>
    <col min="16" max="16" width="15.28515625" style="35" hidden="1" customWidth="1"/>
    <col min="17" max="16384" width="9.140625" style="35" hidden="1"/>
  </cols>
  <sheetData>
    <row r="1" spans="1:14" ht="24" customHeight="1" x14ac:dyDescent="0.25">
      <c r="A1" s="2310" t="s">
        <v>2296</v>
      </c>
      <c r="B1" s="2310"/>
      <c r="C1" s="2310"/>
      <c r="D1" s="2310"/>
      <c r="E1" s="2310"/>
      <c r="F1" s="2310"/>
      <c r="G1" s="2310"/>
      <c r="H1" s="2310"/>
      <c r="I1" s="2310"/>
      <c r="J1" s="2310"/>
      <c r="K1" s="2310"/>
      <c r="L1" s="2310"/>
      <c r="M1" s="2310"/>
    </row>
    <row r="2" spans="1:14" ht="15" customHeight="1" x14ac:dyDescent="0.25">
      <c r="A2" s="45"/>
      <c r="B2" s="46"/>
      <c r="C2" s="46"/>
      <c r="D2" s="46"/>
      <c r="E2" s="46"/>
      <c r="F2" s="45"/>
      <c r="G2" s="45"/>
      <c r="H2" s="45"/>
      <c r="I2" s="1753" t="s">
        <v>2294</v>
      </c>
      <c r="J2" s="1753"/>
      <c r="K2" s="1753"/>
      <c r="L2" s="130" t="s">
        <v>2312</v>
      </c>
      <c r="M2" s="130"/>
    </row>
    <row r="3" spans="1:14" ht="15" customHeight="1" x14ac:dyDescent="0.25">
      <c r="A3" s="45"/>
      <c r="B3" s="46"/>
      <c r="C3" s="46"/>
      <c r="D3" s="46"/>
      <c r="E3" s="46"/>
      <c r="F3" s="45"/>
      <c r="G3" s="45"/>
      <c r="H3" s="45"/>
      <c r="I3" s="1753"/>
      <c r="J3" s="1753"/>
      <c r="K3" s="1753"/>
      <c r="L3" s="130" t="s">
        <v>2313</v>
      </c>
      <c r="M3" s="130" t="s">
        <v>2321</v>
      </c>
    </row>
    <row r="4" spans="1:14" ht="15" customHeight="1" x14ac:dyDescent="0.25">
      <c r="A4" s="45"/>
      <c r="B4" s="46"/>
      <c r="C4" s="46"/>
      <c r="D4" s="46"/>
      <c r="E4" s="46"/>
      <c r="F4" s="45"/>
      <c r="G4" s="45"/>
      <c r="H4" s="45"/>
      <c r="I4" s="1850"/>
      <c r="J4" s="1850"/>
      <c r="K4" s="1850"/>
      <c r="L4" s="130" t="s">
        <v>2311</v>
      </c>
      <c r="M4" s="130"/>
    </row>
    <row r="5" spans="1:14" ht="21" customHeight="1" x14ac:dyDescent="0.25">
      <c r="A5" s="1851" t="s">
        <v>2641</v>
      </c>
      <c r="B5" s="1852"/>
      <c r="C5" s="1852"/>
      <c r="D5" s="1852"/>
      <c r="E5" s="1852"/>
      <c r="F5" s="1852"/>
      <c r="G5" s="1852"/>
      <c r="H5" s="1852"/>
      <c r="I5" s="1852"/>
      <c r="J5" s="1852"/>
      <c r="K5" s="1852"/>
      <c r="L5" s="1852"/>
      <c r="M5" s="1853"/>
    </row>
    <row r="6" spans="1:14" ht="21" customHeight="1" x14ac:dyDescent="0.25">
      <c r="A6" s="2320"/>
      <c r="B6" s="1660"/>
      <c r="C6" s="1660"/>
      <c r="D6" s="1660"/>
      <c r="E6" s="1660"/>
      <c r="F6" s="1660"/>
      <c r="G6" s="1660"/>
      <c r="H6" s="1660"/>
      <c r="I6" s="1660"/>
      <c r="J6" s="1660"/>
      <c r="K6" s="1660"/>
      <c r="L6" s="1660"/>
      <c r="M6" s="2321"/>
    </row>
    <row r="7" spans="1:14" ht="21" customHeight="1" x14ac:dyDescent="0.25">
      <c r="A7" s="1854"/>
      <c r="B7" s="1855"/>
      <c r="C7" s="1855"/>
      <c r="D7" s="1855"/>
      <c r="E7" s="1855"/>
      <c r="F7" s="1855"/>
      <c r="G7" s="1855"/>
      <c r="H7" s="1855"/>
      <c r="I7" s="1855"/>
      <c r="J7" s="1855"/>
      <c r="K7" s="1855"/>
      <c r="L7" s="1855"/>
      <c r="M7" s="1856"/>
    </row>
    <row r="8" spans="1:14" ht="12" customHeight="1" x14ac:dyDescent="0.25">
      <c r="A8" s="46"/>
      <c r="B8" s="46"/>
      <c r="C8" s="46"/>
      <c r="D8" s="46"/>
      <c r="E8" s="46"/>
      <c r="F8" s="45"/>
      <c r="G8" s="45"/>
      <c r="H8" s="45"/>
      <c r="I8" s="45"/>
      <c r="J8" s="45"/>
      <c r="K8" s="45"/>
      <c r="L8" s="45"/>
      <c r="M8" s="45"/>
    </row>
    <row r="9" spans="1:14" ht="18" customHeight="1" x14ac:dyDescent="0.25">
      <c r="A9" s="2311" t="s">
        <v>82</v>
      </c>
      <c r="B9" s="2311"/>
      <c r="C9" s="2311"/>
      <c r="D9" s="2311"/>
      <c r="E9" s="2311"/>
      <c r="F9" s="2311"/>
      <c r="G9" s="2311"/>
      <c r="H9" s="2311"/>
      <c r="I9" s="2311"/>
      <c r="J9" s="2311"/>
      <c r="K9" s="2311"/>
      <c r="L9" s="2311"/>
      <c r="M9" s="2311"/>
    </row>
    <row r="10" spans="1:14" x14ac:dyDescent="0.25">
      <c r="A10" s="45"/>
      <c r="B10" s="46"/>
      <c r="C10" s="46"/>
      <c r="D10" s="46"/>
      <c r="E10" s="46"/>
      <c r="F10" s="45"/>
      <c r="G10" s="45"/>
      <c r="H10" s="45"/>
      <c r="I10" s="45"/>
      <c r="J10" s="45"/>
      <c r="K10" s="45"/>
      <c r="L10" s="45"/>
      <c r="M10" s="45"/>
    </row>
    <row r="11" spans="1:14" x14ac:dyDescent="0.25">
      <c r="A11" s="45"/>
      <c r="B11" s="2312" t="s">
        <v>99</v>
      </c>
      <c r="C11" s="2313"/>
      <c r="D11" s="2314" t="s">
        <v>53</v>
      </c>
      <c r="E11" s="2315"/>
      <c r="F11" s="2316"/>
      <c r="G11" s="45"/>
      <c r="H11" s="45"/>
      <c r="I11" s="45"/>
      <c r="J11" s="45"/>
      <c r="K11" s="45"/>
      <c r="L11" s="45"/>
      <c r="M11" s="45"/>
    </row>
    <row r="12" spans="1:14" x14ac:dyDescent="0.25">
      <c r="A12" s="45"/>
      <c r="B12" s="46"/>
      <c r="C12" s="46"/>
      <c r="D12" s="46"/>
      <c r="E12" s="46"/>
      <c r="F12" s="45"/>
      <c r="G12" s="45"/>
      <c r="H12" s="45"/>
      <c r="I12" s="45"/>
      <c r="J12" s="45"/>
      <c r="K12" s="45"/>
      <c r="L12" s="45"/>
      <c r="M12" s="45"/>
    </row>
    <row r="13" spans="1:14" ht="21" customHeight="1" x14ac:dyDescent="0.25">
      <c r="A13" s="45"/>
      <c r="B13" s="2335" t="s">
        <v>83</v>
      </c>
      <c r="C13" s="2336"/>
      <c r="D13" s="2336"/>
      <c r="E13" s="2336"/>
      <c r="F13" s="443" t="s">
        <v>64</v>
      </c>
      <c r="G13" s="443" t="s">
        <v>16</v>
      </c>
      <c r="H13" s="50" t="s">
        <v>133</v>
      </c>
      <c r="I13" s="45"/>
      <c r="J13" s="45"/>
      <c r="K13" s="45"/>
      <c r="L13" s="45"/>
      <c r="M13" s="45"/>
    </row>
    <row r="14" spans="1:14" ht="64.5" customHeight="1" x14ac:dyDescent="0.25">
      <c r="A14" s="45"/>
      <c r="B14" s="1797" t="s">
        <v>2164</v>
      </c>
      <c r="C14" s="1798"/>
      <c r="D14" s="1798"/>
      <c r="E14" s="1799"/>
      <c r="F14" s="281">
        <v>3</v>
      </c>
      <c r="G14" s="281" t="str">
        <f>IF(D11="Option A: LOTUS Certified base building",C42,"/")</f>
        <v>/</v>
      </c>
      <c r="H14" s="281" t="str">
        <f>IF(D11="Option A: LOTUS Certified base building",C43,"/")</f>
        <v>/</v>
      </c>
      <c r="I14" s="45"/>
      <c r="J14" s="45"/>
      <c r="K14" s="731"/>
      <c r="L14" s="45"/>
      <c r="M14" s="45"/>
    </row>
    <row r="15" spans="1:14" ht="40.5" customHeight="1" x14ac:dyDescent="0.25">
      <c r="A15" s="45"/>
      <c r="B15" s="1797" t="s">
        <v>1463</v>
      </c>
      <c r="C15" s="1798"/>
      <c r="D15" s="1798"/>
      <c r="E15" s="1799"/>
      <c r="F15" s="281">
        <v>2</v>
      </c>
      <c r="G15" s="281" t="str">
        <f>IF(D11="Option B: Base building with green attributes",C74,"/")</f>
        <v>/</v>
      </c>
      <c r="H15" s="281" t="str">
        <f>IF(D11="Option B: Base building with green attributes",C75,"/")</f>
        <v>/</v>
      </c>
      <c r="I15" s="45"/>
      <c r="J15" s="45"/>
      <c r="K15" s="45"/>
      <c r="L15" s="45"/>
      <c r="M15" s="45"/>
      <c r="N15" s="35">
        <f>IF(D11="Option A: LOTUS Certified base building",C42,0)+IF(D11="Option B: Base building with green attributes",C74,0)</f>
        <v>0</v>
      </c>
    </row>
    <row r="16" spans="1:14" ht="9.75" customHeight="1" x14ac:dyDescent="0.25">
      <c r="A16" s="45"/>
      <c r="B16" s="45"/>
      <c r="C16" s="45"/>
      <c r="D16" s="45"/>
      <c r="E16" s="45"/>
      <c r="F16" s="45"/>
      <c r="G16" s="45"/>
      <c r="H16" s="45"/>
      <c r="I16" s="45"/>
      <c r="J16" s="45"/>
      <c r="K16" s="45"/>
      <c r="L16" s="45"/>
      <c r="M16" s="45"/>
    </row>
    <row r="17" spans="1:14" ht="9.75" customHeight="1" x14ac:dyDescent="0.25">
      <c r="A17" s="45"/>
      <c r="B17" s="46"/>
      <c r="C17" s="46"/>
      <c r="D17" s="46"/>
      <c r="E17" s="46"/>
      <c r="F17" s="45"/>
      <c r="G17" s="45"/>
      <c r="H17" s="45"/>
      <c r="I17" s="45"/>
      <c r="J17" s="45"/>
      <c r="K17" s="45"/>
      <c r="L17" s="45"/>
      <c r="M17" s="45"/>
    </row>
    <row r="18" spans="1:14" ht="18" customHeight="1" x14ac:dyDescent="0.25">
      <c r="A18" s="2311" t="s">
        <v>2163</v>
      </c>
      <c r="B18" s="2311"/>
      <c r="C18" s="2311"/>
      <c r="D18" s="2311"/>
      <c r="E18" s="2311"/>
      <c r="F18" s="2311"/>
      <c r="G18" s="2311"/>
      <c r="H18" s="2311"/>
      <c r="I18" s="2311"/>
      <c r="J18" s="2311"/>
      <c r="K18" s="2311"/>
      <c r="L18" s="2311"/>
      <c r="M18" s="2311"/>
    </row>
    <row r="19" spans="1:14" x14ac:dyDescent="0.25">
      <c r="A19" s="45"/>
      <c r="B19" s="46"/>
      <c r="C19" s="46"/>
      <c r="D19" s="46"/>
      <c r="E19" s="46"/>
      <c r="F19" s="45"/>
      <c r="G19" s="45"/>
      <c r="H19" s="45"/>
      <c r="I19" s="45"/>
      <c r="J19" s="45"/>
      <c r="K19" s="45"/>
      <c r="L19" s="45"/>
      <c r="M19" s="45"/>
    </row>
    <row r="20" spans="1:14" ht="16.5" customHeight="1" x14ac:dyDescent="0.25">
      <c r="A20" s="2317" t="s">
        <v>102</v>
      </c>
      <c r="B20" s="2317"/>
      <c r="C20" s="2317"/>
      <c r="D20" s="46"/>
      <c r="E20" s="46"/>
      <c r="F20" s="46"/>
      <c r="G20" s="46"/>
      <c r="H20" s="46"/>
      <c r="I20" s="46"/>
      <c r="J20" s="46"/>
      <c r="K20" s="46"/>
      <c r="L20" s="46"/>
      <c r="M20" s="46"/>
      <c r="N20" s="46"/>
    </row>
    <row r="21" spans="1:14" ht="13.5" customHeight="1" x14ac:dyDescent="0.25">
      <c r="A21" s="45"/>
      <c r="B21" s="46"/>
      <c r="C21" s="46"/>
      <c r="D21" s="46"/>
      <c r="E21" s="45"/>
      <c r="F21" s="45"/>
      <c r="G21" s="45"/>
      <c r="H21" s="45"/>
      <c r="I21" s="45"/>
      <c r="J21" s="45"/>
      <c r="K21" s="45"/>
      <c r="L21" s="45"/>
      <c r="M21" s="45"/>
      <c r="N21" s="45"/>
    </row>
    <row r="22" spans="1:14" x14ac:dyDescent="0.25">
      <c r="A22" s="45"/>
      <c r="B22" s="565" t="s">
        <v>1475</v>
      </c>
      <c r="C22" s="46"/>
      <c r="D22" s="46"/>
      <c r="E22" s="46"/>
      <c r="F22" s="45"/>
      <c r="G22" s="45"/>
      <c r="H22" s="45"/>
      <c r="I22" s="45"/>
      <c r="J22" s="45"/>
      <c r="K22" s="45"/>
      <c r="L22" s="45"/>
      <c r="M22" s="45"/>
    </row>
    <row r="23" spans="1:14" ht="21" customHeight="1" x14ac:dyDescent="0.25">
      <c r="A23" s="45"/>
      <c r="B23" s="46"/>
      <c r="C23" s="46"/>
      <c r="D23" s="46"/>
      <c r="E23" s="46"/>
      <c r="F23" s="45"/>
      <c r="G23" s="45"/>
      <c r="H23" s="45"/>
      <c r="I23" s="45"/>
      <c r="J23" s="45"/>
      <c r="K23" s="45"/>
      <c r="L23" s="45"/>
      <c r="M23" s="45"/>
    </row>
    <row r="24" spans="1:14" x14ac:dyDescent="0.25">
      <c r="A24" s="45"/>
      <c r="B24" s="535" t="s">
        <v>1470</v>
      </c>
      <c r="C24" s="46"/>
      <c r="D24" s="46"/>
      <c r="E24" s="46"/>
      <c r="F24" s="45"/>
      <c r="G24" s="45"/>
      <c r="H24" s="45"/>
      <c r="I24" s="45"/>
      <c r="J24" s="45"/>
      <c r="K24" s="45"/>
      <c r="L24" s="45"/>
      <c r="M24" s="45"/>
    </row>
    <row r="25" spans="1:14" x14ac:dyDescent="0.25">
      <c r="A25" s="45"/>
      <c r="B25" s="500"/>
      <c r="C25" s="46"/>
      <c r="D25" s="46"/>
      <c r="E25" s="46"/>
      <c r="F25" s="45"/>
      <c r="G25" s="45"/>
      <c r="H25" s="45"/>
      <c r="I25" s="45"/>
      <c r="J25" s="45"/>
      <c r="K25" s="45"/>
      <c r="L25" s="45"/>
      <c r="M25" s="45"/>
    </row>
    <row r="26" spans="1:14" ht="18" customHeight="1" x14ac:dyDescent="0.25">
      <c r="A26" s="45"/>
      <c r="B26" s="1726" t="s">
        <v>953</v>
      </c>
      <c r="C26" s="1726"/>
      <c r="D26" s="1726"/>
      <c r="E26" s="505" t="s">
        <v>53</v>
      </c>
      <c r="F26" s="46"/>
      <c r="G26" s="45"/>
      <c r="H26" s="45"/>
      <c r="I26" s="45"/>
      <c r="J26" s="45"/>
      <c r="K26" s="45"/>
      <c r="L26" s="45"/>
      <c r="M26" s="45"/>
      <c r="N26" s="67"/>
    </row>
    <row r="27" spans="1:14" ht="18" customHeight="1" x14ac:dyDescent="0.25">
      <c r="A27" s="45"/>
      <c r="B27" s="1726" t="s">
        <v>1468</v>
      </c>
      <c r="C27" s="1726"/>
      <c r="D27" s="1726"/>
      <c r="E27" s="856" t="s">
        <v>53</v>
      </c>
      <c r="F27" s="46"/>
      <c r="G27" s="45"/>
      <c r="H27" s="45"/>
      <c r="I27" s="45"/>
      <c r="J27" s="45"/>
      <c r="K27" s="45"/>
      <c r="L27" s="45"/>
      <c r="M27" s="45"/>
      <c r="N27" s="67"/>
    </row>
    <row r="28" spans="1:14" x14ac:dyDescent="0.25">
      <c r="A28" s="45"/>
      <c r="B28" s="533"/>
      <c r="C28" s="533"/>
      <c r="D28" s="45"/>
      <c r="E28" s="45"/>
      <c r="F28" s="45"/>
      <c r="G28" s="45"/>
      <c r="H28" s="45"/>
      <c r="I28" s="45"/>
      <c r="J28" s="45"/>
      <c r="K28" s="45"/>
      <c r="L28" s="45"/>
      <c r="M28" s="45"/>
    </row>
    <row r="29" spans="1:14" ht="18" customHeight="1" x14ac:dyDescent="0.25">
      <c r="A29" s="45"/>
      <c r="B29" s="2318" t="s">
        <v>718</v>
      </c>
      <c r="C29" s="2319"/>
      <c r="D29" s="1689"/>
      <c r="E29" s="1736"/>
      <c r="F29" s="532"/>
      <c r="G29" s="45"/>
      <c r="H29" s="45"/>
      <c r="I29" s="45"/>
      <c r="J29" s="45"/>
      <c r="K29" s="45"/>
      <c r="L29" s="45"/>
      <c r="M29" s="45"/>
    </row>
    <row r="30" spans="1:14" ht="18" customHeight="1" x14ac:dyDescent="0.25">
      <c r="A30" s="45"/>
      <c r="B30" s="2318" t="s">
        <v>1469</v>
      </c>
      <c r="C30" s="2319"/>
      <c r="D30" s="1689"/>
      <c r="E30" s="1736"/>
      <c r="F30" s="45"/>
      <c r="G30" s="45"/>
      <c r="H30" s="45"/>
      <c r="I30" s="45"/>
      <c r="J30" s="45"/>
      <c r="K30" s="45"/>
      <c r="L30" s="45"/>
      <c r="M30" s="45"/>
    </row>
    <row r="31" spans="1:14" ht="18" customHeight="1" x14ac:dyDescent="0.25">
      <c r="A31" s="45"/>
      <c r="B31" s="2318" t="s">
        <v>153</v>
      </c>
      <c r="C31" s="2319"/>
      <c r="D31" s="1689"/>
      <c r="E31" s="1736"/>
      <c r="F31" s="45"/>
      <c r="G31" s="45"/>
      <c r="H31" s="45"/>
      <c r="I31" s="45"/>
      <c r="J31" s="45"/>
      <c r="K31" s="45"/>
      <c r="L31" s="45"/>
      <c r="M31" s="45"/>
    </row>
    <row r="32" spans="1:14" ht="19.5" customHeight="1" x14ac:dyDescent="0.25">
      <c r="A32" s="45"/>
      <c r="B32" s="45" t="s">
        <v>1471</v>
      </c>
      <c r="C32" s="46"/>
      <c r="D32" s="46"/>
      <c r="E32" s="46"/>
      <c r="F32" s="45"/>
      <c r="G32" s="45"/>
      <c r="H32" s="45"/>
      <c r="I32" s="45"/>
      <c r="J32" s="45"/>
      <c r="K32" s="45"/>
      <c r="L32" s="45"/>
      <c r="M32" s="45"/>
    </row>
    <row r="33" spans="1:14" ht="19.5" customHeight="1" x14ac:dyDescent="0.25">
      <c r="A33" s="45"/>
      <c r="B33" s="2318" t="s">
        <v>1472</v>
      </c>
      <c r="C33" s="2319"/>
      <c r="D33" s="1689" t="s">
        <v>53</v>
      </c>
      <c r="E33" s="1736"/>
      <c r="F33" s="45"/>
      <c r="G33" s="45"/>
      <c r="H33" s="45"/>
      <c r="I33" s="45"/>
      <c r="J33" s="45"/>
      <c r="K33" s="45"/>
      <c r="L33" s="45"/>
      <c r="M33" s="45"/>
    </row>
    <row r="34" spans="1:14" ht="19.5" customHeight="1" x14ac:dyDescent="0.25">
      <c r="A34" s="45"/>
      <c r="B34" s="46"/>
      <c r="C34" s="46"/>
      <c r="D34" s="46"/>
      <c r="E34" s="46"/>
      <c r="F34" s="45"/>
      <c r="G34" s="45"/>
      <c r="H34" s="45"/>
      <c r="I34" s="45"/>
      <c r="J34" s="45"/>
      <c r="K34" s="45"/>
      <c r="L34" s="45"/>
      <c r="M34" s="45"/>
    </row>
    <row r="35" spans="1:14" ht="16.5" customHeight="1" x14ac:dyDescent="0.25">
      <c r="A35" s="2317" t="s">
        <v>84</v>
      </c>
      <c r="B35" s="2317"/>
      <c r="C35" s="2317"/>
      <c r="D35" s="46"/>
      <c r="E35" s="46"/>
      <c r="F35" s="46"/>
      <c r="G35" s="46"/>
      <c r="H35" s="46"/>
      <c r="I35" s="46"/>
      <c r="J35" s="46"/>
      <c r="K35" s="46"/>
      <c r="L35" s="46"/>
      <c r="M35" s="46"/>
      <c r="N35" s="46"/>
    </row>
    <row r="36" spans="1:14" ht="13.5" customHeight="1" x14ac:dyDescent="0.25">
      <c r="A36" s="45"/>
      <c r="B36" s="46"/>
      <c r="C36" s="46"/>
      <c r="D36" s="46"/>
      <c r="E36" s="45"/>
      <c r="F36" s="45"/>
      <c r="G36" s="45"/>
      <c r="H36" s="45"/>
      <c r="I36" s="45"/>
      <c r="J36" s="45"/>
      <c r="K36" s="45"/>
      <c r="L36" s="45"/>
      <c r="M36" s="45"/>
      <c r="N36" s="45"/>
    </row>
    <row r="37" spans="1:14" ht="21" customHeight="1" x14ac:dyDescent="0.25">
      <c r="A37" s="45"/>
      <c r="B37" s="2322" t="s">
        <v>85</v>
      </c>
      <c r="C37" s="2323"/>
      <c r="D37" s="2323"/>
      <c r="E37" s="2323"/>
      <c r="F37" s="2323"/>
      <c r="G37" s="858" t="s">
        <v>907</v>
      </c>
      <c r="H37" s="2324" t="s">
        <v>908</v>
      </c>
      <c r="I37" s="2325"/>
      <c r="J37" s="45"/>
      <c r="K37" s="45"/>
      <c r="L37" s="45"/>
      <c r="M37" s="45"/>
      <c r="N37" s="45"/>
    </row>
    <row r="38" spans="1:14" ht="30" customHeight="1" x14ac:dyDescent="0.25">
      <c r="A38" s="45"/>
      <c r="B38" s="1961" t="str">
        <f>Submittals!G118</f>
        <v>• Evidence showing that the base building complies with the requirements such as plans, photographs, letter of confirmation from base building, etc.</v>
      </c>
      <c r="C38" s="1962"/>
      <c r="D38" s="1962"/>
      <c r="E38" s="1962"/>
      <c r="F38" s="2291"/>
      <c r="G38" s="1150" t="s">
        <v>53</v>
      </c>
      <c r="H38" s="1689"/>
      <c r="I38" s="1690"/>
      <c r="J38" s="45"/>
      <c r="K38" s="45"/>
      <c r="L38" s="45"/>
      <c r="M38" s="45"/>
      <c r="N38" s="35" t="str">
        <f>IF(OR(B38="/",B38="No evidence required at this submission stage"),"Yes",IF(G38="Submitted","Yes","No"))</f>
        <v>No</v>
      </c>
    </row>
    <row r="39" spans="1:14" x14ac:dyDescent="0.25">
      <c r="A39" s="45"/>
      <c r="B39" s="46"/>
      <c r="C39" s="46"/>
      <c r="D39" s="46"/>
      <c r="E39" s="46"/>
      <c r="F39" s="45"/>
      <c r="G39" s="45"/>
      <c r="H39" s="45"/>
      <c r="I39" s="45"/>
      <c r="J39" s="45"/>
      <c r="K39" s="45"/>
      <c r="L39" s="45"/>
      <c r="M39" s="45"/>
    </row>
    <row r="40" spans="1:14" ht="16.5" customHeight="1" x14ac:dyDescent="0.25">
      <c r="A40" s="2317" t="s">
        <v>5</v>
      </c>
      <c r="B40" s="2317"/>
      <c r="C40" s="2317"/>
      <c r="D40" s="46"/>
      <c r="E40" s="46"/>
      <c r="F40" s="45"/>
      <c r="G40" s="45"/>
      <c r="H40" s="45"/>
      <c r="I40" s="45"/>
      <c r="J40" s="45"/>
      <c r="K40" s="45"/>
      <c r="L40" s="45"/>
      <c r="M40" s="45"/>
    </row>
    <row r="41" spans="1:14" x14ac:dyDescent="0.25">
      <c r="A41" s="45"/>
      <c r="B41" s="46"/>
      <c r="C41" s="46"/>
      <c r="D41" s="46"/>
      <c r="E41" s="46"/>
      <c r="F41" s="45"/>
      <c r="G41" s="45"/>
      <c r="H41" s="45"/>
      <c r="I41" s="45"/>
      <c r="J41" s="45"/>
      <c r="K41" s="45"/>
      <c r="L41" s="45"/>
      <c r="M41" s="45"/>
    </row>
    <row r="42" spans="1:14" ht="18" customHeight="1" x14ac:dyDescent="0.25">
      <c r="A42" s="45"/>
      <c r="B42" s="133" t="s">
        <v>16</v>
      </c>
      <c r="C42" s="8">
        <f>IF(AND(E26="Yes",D29&lt;&gt;"",D30&lt;&gt;"",D31&lt;&gt;""),IF(D31="Certified",2,IF(D31="Silver",2,3)),IF(AND(E27="Yes",D29&lt;&gt;"",D30&lt;&gt;"",D31&lt;&gt;"",D33&lt;&gt;"Select"),IF(D33="Certified",2,IF(D33="Silver",2,3)),0))</f>
        <v>0</v>
      </c>
      <c r="D42" s="46"/>
      <c r="E42" s="46"/>
      <c r="F42" s="45"/>
      <c r="G42" s="45"/>
      <c r="H42" s="45"/>
      <c r="I42" s="45"/>
      <c r="J42" s="45"/>
      <c r="K42" s="45"/>
      <c r="L42" s="45"/>
      <c r="M42" s="45"/>
    </row>
    <row r="43" spans="1:14" ht="18" customHeight="1" x14ac:dyDescent="0.25">
      <c r="A43" s="45"/>
      <c r="B43" s="136" t="s">
        <v>133</v>
      </c>
      <c r="C43" s="7" t="str">
        <f>IF(AND(N38="Yes",C42&gt;0),"Yes","No")</f>
        <v>No</v>
      </c>
      <c r="D43" s="45"/>
      <c r="E43" s="45"/>
      <c r="F43" s="45"/>
      <c r="G43" s="45"/>
      <c r="H43" s="45"/>
      <c r="I43" s="45"/>
      <c r="J43" s="45"/>
      <c r="K43" s="45"/>
      <c r="L43" s="45"/>
      <c r="M43" s="45"/>
    </row>
    <row r="44" spans="1:14" ht="21" customHeight="1" x14ac:dyDescent="0.25">
      <c r="A44" s="45"/>
      <c r="B44" s="46"/>
      <c r="C44" s="46"/>
      <c r="D44" s="46"/>
      <c r="E44" s="46"/>
      <c r="F44" s="45"/>
      <c r="G44" s="45"/>
      <c r="H44" s="45"/>
      <c r="I44" s="45"/>
      <c r="J44" s="45"/>
      <c r="K44" s="45"/>
      <c r="L44" s="45"/>
      <c r="M44" s="45"/>
    </row>
    <row r="45" spans="1:14" ht="18" customHeight="1" x14ac:dyDescent="0.25">
      <c r="A45" s="2311" t="s">
        <v>1464</v>
      </c>
      <c r="B45" s="2311"/>
      <c r="C45" s="2311"/>
      <c r="D45" s="2311"/>
      <c r="E45" s="2311"/>
      <c r="F45" s="2311"/>
      <c r="G45" s="2311"/>
      <c r="H45" s="2311"/>
      <c r="I45" s="2311"/>
      <c r="J45" s="2311"/>
      <c r="K45" s="2311"/>
      <c r="L45" s="2311"/>
      <c r="M45" s="2311"/>
    </row>
    <row r="46" spans="1:14" x14ac:dyDescent="0.25">
      <c r="A46" s="45"/>
      <c r="B46" s="46"/>
      <c r="C46" s="46"/>
      <c r="D46" s="46"/>
      <c r="E46" s="46"/>
      <c r="F46" s="45"/>
      <c r="G46" s="45"/>
      <c r="H46" s="45"/>
      <c r="I46" s="45"/>
      <c r="J46" s="45"/>
      <c r="K46" s="45"/>
      <c r="L46" s="45"/>
      <c r="M46" s="45"/>
    </row>
    <row r="47" spans="1:14" ht="16.5" customHeight="1" x14ac:dyDescent="0.25">
      <c r="A47" s="2317" t="s">
        <v>102</v>
      </c>
      <c r="B47" s="2317"/>
      <c r="C47" s="2317"/>
      <c r="D47" s="46"/>
      <c r="E47" s="46"/>
      <c r="F47" s="46"/>
      <c r="G47" s="46"/>
      <c r="H47" s="46"/>
      <c r="I47" s="46"/>
      <c r="J47" s="46"/>
      <c r="K47" s="46"/>
      <c r="L47" s="46"/>
      <c r="M47" s="46"/>
      <c r="N47" s="46"/>
    </row>
    <row r="48" spans="1:14" x14ac:dyDescent="0.25">
      <c r="A48" s="45"/>
      <c r="B48" s="45"/>
      <c r="C48" s="45"/>
      <c r="D48" s="45"/>
      <c r="E48" s="45"/>
      <c r="F48" s="45"/>
      <c r="G48" s="45"/>
      <c r="H48" s="45"/>
      <c r="I48" s="45"/>
      <c r="J48" s="45"/>
      <c r="K48" s="45"/>
      <c r="L48" s="45"/>
      <c r="M48" s="45"/>
    </row>
    <row r="49" spans="1:13" x14ac:dyDescent="0.25">
      <c r="A49" s="45"/>
      <c r="B49" s="510" t="s">
        <v>1465</v>
      </c>
      <c r="C49" s="45"/>
      <c r="D49" s="45"/>
      <c r="E49" s="45"/>
      <c r="F49" s="45"/>
      <c r="G49" s="45"/>
      <c r="H49" s="45"/>
      <c r="I49" s="45"/>
      <c r="J49" s="45"/>
      <c r="K49" s="45"/>
      <c r="L49" s="45"/>
      <c r="M49" s="45"/>
    </row>
    <row r="50" spans="1:13" ht="13.5" customHeight="1" x14ac:dyDescent="0.25">
      <c r="A50" s="45"/>
      <c r="B50" s="45"/>
      <c r="C50" s="45"/>
      <c r="D50" s="45"/>
      <c r="E50" s="45"/>
      <c r="F50" s="45"/>
      <c r="G50" s="45"/>
      <c r="H50" s="45"/>
      <c r="I50" s="45"/>
      <c r="J50" s="45"/>
      <c r="K50" s="45"/>
      <c r="L50" s="45"/>
      <c r="M50" s="45"/>
    </row>
    <row r="51" spans="1:13" ht="12" customHeight="1" x14ac:dyDescent="0.25">
      <c r="A51" s="45"/>
      <c r="B51" s="45"/>
      <c r="C51" s="45"/>
      <c r="D51" s="45"/>
      <c r="E51" s="45"/>
      <c r="F51" s="45"/>
      <c r="G51" s="45"/>
      <c r="H51" s="45"/>
      <c r="I51" s="45"/>
      <c r="J51" s="45"/>
      <c r="K51" s="45"/>
      <c r="L51" s="45"/>
      <c r="M51" s="45"/>
    </row>
    <row r="52" spans="1:13" x14ac:dyDescent="0.25">
      <c r="A52" s="45"/>
      <c r="B52" s="535" t="s">
        <v>739</v>
      </c>
      <c r="C52" s="45"/>
      <c r="D52" s="45"/>
      <c r="E52" s="45"/>
      <c r="F52" s="45"/>
      <c r="G52" s="45"/>
      <c r="H52" s="45"/>
      <c r="I52" s="45"/>
      <c r="J52" s="45"/>
      <c r="K52" s="45"/>
      <c r="L52" s="45"/>
      <c r="M52" s="45"/>
    </row>
    <row r="53" spans="1:13" ht="12" customHeight="1" x14ac:dyDescent="0.25">
      <c r="A53" s="45"/>
      <c r="B53" s="45"/>
      <c r="C53" s="45"/>
      <c r="D53" s="45"/>
      <c r="E53" s="45"/>
      <c r="F53" s="45"/>
      <c r="G53" s="45"/>
      <c r="H53" s="45"/>
      <c r="I53" s="45"/>
      <c r="J53" s="45"/>
      <c r="K53" s="45"/>
      <c r="L53" s="45"/>
      <c r="M53" s="45"/>
    </row>
    <row r="54" spans="1:13" ht="18" customHeight="1" x14ac:dyDescent="0.25">
      <c r="A54" s="45"/>
      <c r="B54" s="2326" t="s">
        <v>740</v>
      </c>
      <c r="C54" s="2327"/>
      <c r="D54" s="2327"/>
      <c r="E54" s="2327"/>
      <c r="F54" s="2327"/>
      <c r="G54" s="2327"/>
      <c r="H54" s="45"/>
      <c r="I54" s="45"/>
      <c r="J54" s="45"/>
      <c r="K54" s="45"/>
      <c r="L54" s="45"/>
      <c r="M54" s="45"/>
    </row>
    <row r="55" spans="1:13" ht="30" customHeight="1" x14ac:dyDescent="0.25">
      <c r="A55" s="45"/>
      <c r="B55" s="1954" t="s">
        <v>958</v>
      </c>
      <c r="C55" s="1955"/>
      <c r="D55" s="1955"/>
      <c r="E55" s="1955"/>
      <c r="F55" s="2334"/>
      <c r="G55" s="527" t="s">
        <v>53</v>
      </c>
      <c r="H55" s="45"/>
      <c r="I55" s="45"/>
      <c r="J55" s="45"/>
      <c r="K55" s="45"/>
      <c r="L55" s="45"/>
      <c r="M55" s="45"/>
    </row>
    <row r="56" spans="1:13" ht="30" customHeight="1" x14ac:dyDescent="0.25">
      <c r="A56" s="45"/>
      <c r="B56" s="1954" t="s">
        <v>959</v>
      </c>
      <c r="C56" s="1955"/>
      <c r="D56" s="1955"/>
      <c r="E56" s="1955"/>
      <c r="F56" s="2334" t="s">
        <v>53</v>
      </c>
      <c r="G56" s="527" t="s">
        <v>53</v>
      </c>
      <c r="H56" s="45"/>
      <c r="I56" s="45"/>
      <c r="J56" s="45"/>
      <c r="K56" s="45"/>
      <c r="L56" s="45"/>
      <c r="M56" s="45"/>
    </row>
    <row r="57" spans="1:13" ht="30" customHeight="1" x14ac:dyDescent="0.25">
      <c r="A57" s="45"/>
      <c r="B57" s="1954" t="s">
        <v>960</v>
      </c>
      <c r="C57" s="1955"/>
      <c r="D57" s="1955"/>
      <c r="E57" s="1955"/>
      <c r="F57" s="2334" t="s">
        <v>53</v>
      </c>
      <c r="G57" s="527" t="s">
        <v>53</v>
      </c>
      <c r="H57" s="45"/>
      <c r="I57" s="45"/>
      <c r="J57" s="45"/>
      <c r="K57" s="45"/>
      <c r="L57" s="45"/>
      <c r="M57" s="45"/>
    </row>
    <row r="58" spans="1:13" ht="30" customHeight="1" x14ac:dyDescent="0.25">
      <c r="A58" s="45"/>
      <c r="B58" s="1954" t="s">
        <v>1619</v>
      </c>
      <c r="C58" s="1955"/>
      <c r="D58" s="1955"/>
      <c r="E58" s="1955"/>
      <c r="F58" s="2334" t="s">
        <v>53</v>
      </c>
      <c r="G58" s="527" t="s">
        <v>53</v>
      </c>
      <c r="H58" s="45"/>
      <c r="I58" s="45"/>
      <c r="J58" s="45"/>
      <c r="K58" s="45"/>
      <c r="L58" s="45"/>
      <c r="M58" s="45"/>
    </row>
    <row r="59" spans="1:13" ht="30" customHeight="1" x14ac:dyDescent="0.25">
      <c r="A59" s="45"/>
      <c r="B59" s="1954" t="s">
        <v>961</v>
      </c>
      <c r="C59" s="1955"/>
      <c r="D59" s="1955"/>
      <c r="E59" s="1955"/>
      <c r="F59" s="2334" t="s">
        <v>53</v>
      </c>
      <c r="G59" s="527" t="s">
        <v>53</v>
      </c>
      <c r="H59" s="45"/>
      <c r="I59" s="45"/>
      <c r="J59" s="45"/>
      <c r="K59" s="45"/>
      <c r="L59" s="45"/>
      <c r="M59" s="45"/>
    </row>
    <row r="60" spans="1:13" ht="21" customHeight="1" x14ac:dyDescent="0.25">
      <c r="A60" s="45"/>
      <c r="B60" s="2329" t="s">
        <v>962</v>
      </c>
      <c r="C60" s="2330"/>
      <c r="D60" s="2330"/>
      <c r="E60" s="2330"/>
      <c r="F60" s="2331" t="s">
        <v>53</v>
      </c>
      <c r="G60" s="1994" t="s">
        <v>53</v>
      </c>
      <c r="H60" s="45"/>
      <c r="I60" s="45"/>
      <c r="J60" s="45"/>
      <c r="K60" s="45"/>
      <c r="L60" s="45"/>
      <c r="M60" s="45"/>
    </row>
    <row r="61" spans="1:13" ht="31.5" customHeight="1" x14ac:dyDescent="0.25">
      <c r="A61" s="45"/>
      <c r="B61" s="539" t="s">
        <v>741</v>
      </c>
      <c r="C61" s="2332"/>
      <c r="D61" s="2332"/>
      <c r="E61" s="2332"/>
      <c r="F61" s="2333"/>
      <c r="G61" s="1640"/>
      <c r="H61" s="45"/>
      <c r="I61" s="45"/>
      <c r="J61" s="45"/>
      <c r="K61" s="45"/>
      <c r="L61" s="45"/>
      <c r="M61" s="45"/>
    </row>
    <row r="62" spans="1:13" ht="21" customHeight="1" x14ac:dyDescent="0.25">
      <c r="A62" s="45"/>
      <c r="B62" s="2329" t="s">
        <v>962</v>
      </c>
      <c r="C62" s="2330"/>
      <c r="D62" s="2330"/>
      <c r="E62" s="2330"/>
      <c r="F62" s="2331" t="s">
        <v>53</v>
      </c>
      <c r="G62" s="1994" t="s">
        <v>53</v>
      </c>
      <c r="H62" s="45"/>
      <c r="I62" s="45"/>
      <c r="J62" s="45"/>
      <c r="K62" s="45"/>
      <c r="L62" s="45"/>
      <c r="M62" s="45"/>
    </row>
    <row r="63" spans="1:13" ht="31.5" customHeight="1" x14ac:dyDescent="0.25">
      <c r="A63" s="45"/>
      <c r="B63" s="539" t="s">
        <v>741</v>
      </c>
      <c r="C63" s="2332"/>
      <c r="D63" s="2332"/>
      <c r="E63" s="2332"/>
      <c r="F63" s="2333"/>
      <c r="G63" s="1640"/>
      <c r="H63" s="45"/>
      <c r="I63" s="45"/>
      <c r="J63" s="45"/>
      <c r="K63" s="45"/>
      <c r="L63" s="45"/>
      <c r="M63" s="45"/>
    </row>
    <row r="64" spans="1:13" ht="21" customHeight="1" x14ac:dyDescent="0.25">
      <c r="A64" s="45"/>
      <c r="B64" s="46"/>
      <c r="C64" s="46"/>
      <c r="D64" s="46"/>
      <c r="E64" s="46"/>
      <c r="F64" s="45"/>
      <c r="G64" s="45"/>
      <c r="H64" s="45"/>
      <c r="I64" s="45"/>
      <c r="J64" s="45"/>
      <c r="K64" s="45"/>
      <c r="L64" s="45"/>
      <c r="M64" s="45"/>
    </row>
    <row r="65" spans="1:14" ht="21" customHeight="1" x14ac:dyDescent="0.25">
      <c r="A65" s="45"/>
      <c r="B65" s="2328" t="s">
        <v>1466</v>
      </c>
      <c r="C65" s="2328"/>
      <c r="D65" s="2328"/>
      <c r="E65" s="540">
        <f>COUNTIF(G55:G59,"Yes")+IF(AND(G60="Yes",C61&lt;&gt;""),1,0)+IF(AND(G62="Yes",C63&lt;&gt;""),1,0)</f>
        <v>0</v>
      </c>
      <c r="F65" s="45"/>
      <c r="G65" s="45"/>
      <c r="H65" s="45"/>
      <c r="I65" s="45"/>
      <c r="J65" s="45"/>
      <c r="K65" s="45"/>
      <c r="L65" s="45"/>
      <c r="M65" s="45"/>
    </row>
    <row r="66" spans="1:14" ht="21" customHeight="1" x14ac:dyDescent="0.25">
      <c r="A66" s="45"/>
      <c r="B66" s="46"/>
      <c r="C66" s="46"/>
      <c r="D66" s="46"/>
      <c r="E66" s="46"/>
      <c r="F66" s="45"/>
      <c r="G66" s="45"/>
      <c r="H66" s="45"/>
      <c r="I66" s="45"/>
      <c r="J66" s="45"/>
      <c r="K66" s="45"/>
      <c r="L66" s="45"/>
      <c r="M66" s="45"/>
    </row>
    <row r="67" spans="1:14" ht="16.5" customHeight="1" x14ac:dyDescent="0.25">
      <c r="A67" s="2317" t="s">
        <v>84</v>
      </c>
      <c r="B67" s="2317"/>
      <c r="C67" s="2317"/>
      <c r="D67" s="46"/>
      <c r="E67" s="46"/>
      <c r="F67" s="46"/>
      <c r="G67" s="46"/>
      <c r="H67" s="45"/>
      <c r="I67" s="46"/>
      <c r="J67" s="46"/>
      <c r="K67" s="46"/>
      <c r="L67" s="46"/>
      <c r="M67" s="46"/>
      <c r="N67" s="46"/>
    </row>
    <row r="68" spans="1:14" x14ac:dyDescent="0.25">
      <c r="A68" s="45"/>
      <c r="B68" s="46"/>
      <c r="C68" s="46"/>
      <c r="D68" s="46"/>
      <c r="E68" s="45"/>
      <c r="F68" s="45"/>
      <c r="G68" s="45"/>
      <c r="H68" s="45"/>
      <c r="I68" s="45"/>
      <c r="J68" s="45"/>
      <c r="K68" s="45"/>
      <c r="L68" s="45"/>
      <c r="M68" s="45"/>
      <c r="N68" s="45"/>
    </row>
    <row r="69" spans="1:14" ht="21" customHeight="1" x14ac:dyDescent="0.25">
      <c r="A69" s="45"/>
      <c r="B69" s="2322" t="s">
        <v>85</v>
      </c>
      <c r="C69" s="2323"/>
      <c r="D69" s="2323"/>
      <c r="E69" s="2323"/>
      <c r="F69" s="2323"/>
      <c r="G69" s="659" t="s">
        <v>907</v>
      </c>
      <c r="H69" s="2324" t="s">
        <v>908</v>
      </c>
      <c r="I69" s="2325"/>
      <c r="J69" s="45"/>
      <c r="K69" s="45"/>
      <c r="L69" s="45"/>
      <c r="M69" s="45"/>
      <c r="N69" s="45"/>
    </row>
    <row r="70" spans="1:14" ht="30" customHeight="1" x14ac:dyDescent="0.25">
      <c r="A70" s="45"/>
      <c r="B70" s="1648" t="str">
        <f>Submittals!G118</f>
        <v>• Evidence showing that the base building complies with the requirements such as plans, photographs, letter of confirmation from base building, etc.</v>
      </c>
      <c r="C70" s="1649"/>
      <c r="D70" s="1649"/>
      <c r="E70" s="1649"/>
      <c r="F70" s="1649"/>
      <c r="G70" s="657" t="s">
        <v>53</v>
      </c>
      <c r="H70" s="1689"/>
      <c r="I70" s="1690"/>
      <c r="J70" s="46"/>
      <c r="K70" s="46"/>
      <c r="L70" s="46"/>
      <c r="M70" s="46"/>
      <c r="N70" s="35" t="str">
        <f>IF(OR(B70="/",B70="No evidence required at this submission stage"),"Yes",IF(G70="Submitted","Yes","No"))</f>
        <v>No</v>
      </c>
    </row>
    <row r="71" spans="1:14" ht="18" customHeight="1" x14ac:dyDescent="0.25">
      <c r="A71" s="45"/>
      <c r="B71" s="46"/>
      <c r="C71" s="46"/>
      <c r="D71" s="46"/>
      <c r="E71" s="46"/>
      <c r="F71" s="45"/>
      <c r="G71" s="45"/>
      <c r="H71" s="45"/>
      <c r="I71" s="45"/>
      <c r="J71" s="45"/>
      <c r="K71" s="45"/>
      <c r="L71" s="45"/>
      <c r="M71" s="45"/>
    </row>
    <row r="72" spans="1:14" ht="16.5" customHeight="1" x14ac:dyDescent="0.25">
      <c r="A72" s="2317" t="s">
        <v>5</v>
      </c>
      <c r="B72" s="2317"/>
      <c r="C72" s="2317"/>
      <c r="D72" s="46"/>
      <c r="E72" s="46"/>
      <c r="F72" s="45"/>
      <c r="G72" s="45"/>
      <c r="H72" s="45"/>
      <c r="I72" s="45"/>
      <c r="J72" s="45"/>
      <c r="K72" s="45"/>
      <c r="L72" s="45"/>
      <c r="M72" s="45"/>
    </row>
    <row r="73" spans="1:14" ht="16.5" customHeight="1" x14ac:dyDescent="0.25">
      <c r="A73" s="45"/>
      <c r="B73" s="46"/>
      <c r="C73" s="46"/>
      <c r="D73" s="46"/>
      <c r="E73" s="46"/>
      <c r="F73" s="45"/>
      <c r="G73" s="45"/>
      <c r="H73" s="45"/>
      <c r="I73" s="45"/>
      <c r="J73" s="45"/>
      <c r="K73" s="45"/>
      <c r="L73" s="45"/>
      <c r="M73" s="45"/>
    </row>
    <row r="74" spans="1:14" ht="18" customHeight="1" x14ac:dyDescent="0.25">
      <c r="A74" s="45"/>
      <c r="B74" s="133" t="s">
        <v>16</v>
      </c>
      <c r="C74" s="8">
        <f>IF(E65&gt;=4,2,IF(E65&gt;=2,1,0))</f>
        <v>0</v>
      </c>
      <c r="D74" s="46"/>
      <c r="E74" s="46"/>
      <c r="F74" s="45"/>
      <c r="G74" s="45"/>
      <c r="H74" s="45"/>
      <c r="I74" s="45"/>
      <c r="J74" s="45"/>
      <c r="K74" s="45"/>
      <c r="L74" s="45"/>
      <c r="M74" s="45"/>
    </row>
    <row r="75" spans="1:14" ht="18" customHeight="1" x14ac:dyDescent="0.25">
      <c r="A75" s="45"/>
      <c r="B75" s="136" t="s">
        <v>133</v>
      </c>
      <c r="C75" s="8" t="str">
        <f>IF(AND(COUNTIF(N70:N70,"Yes")=1,C74&gt;0),"Yes","No")</f>
        <v>No</v>
      </c>
      <c r="D75" s="45"/>
      <c r="E75" s="45"/>
      <c r="F75" s="45"/>
      <c r="G75" s="45"/>
      <c r="H75" s="45"/>
      <c r="I75" s="45"/>
      <c r="J75" s="45"/>
      <c r="K75" s="45"/>
      <c r="L75" s="45"/>
      <c r="M75" s="45"/>
    </row>
    <row r="76" spans="1:14" ht="21" customHeight="1" x14ac:dyDescent="0.25">
      <c r="A76" s="45"/>
      <c r="B76" s="46"/>
      <c r="C76" s="46"/>
      <c r="D76" s="46"/>
      <c r="E76" s="46"/>
      <c r="F76" s="45"/>
      <c r="G76" s="45"/>
      <c r="H76" s="45"/>
      <c r="I76" s="45"/>
      <c r="J76" s="45"/>
      <c r="K76" s="45"/>
      <c r="L76" s="45"/>
      <c r="M76" s="45"/>
    </row>
    <row r="77" spans="1:14" ht="15" hidden="1" customHeight="1" x14ac:dyDescent="0.25"/>
    <row r="78" spans="1:14" ht="15" hidden="1" customHeight="1" x14ac:dyDescent="0.25"/>
    <row r="79" spans="1:14" ht="15" hidden="1" customHeight="1" x14ac:dyDescent="0.25"/>
    <row r="80" spans="1:14"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sheetData>
  <sheetProtection algorithmName="SHA-512" hashValue="JWV9MHLZKa7TpP2qlF2fUAV10hvnuKKepj8hcIUIxTOfdGSYlFeUd16SUl1vkvmmX8JAWpwkiP0l2tmUFDDujw==" saltValue="IMnjMndjQkjCrxZ8Mw3GAQ==" spinCount="100000" sheet="1" objects="1" scenarios="1" formatRows="0"/>
  <dataConsolidate/>
  <mergeCells count="48">
    <mergeCell ref="B33:C33"/>
    <mergeCell ref="D33:E33"/>
    <mergeCell ref="B37:F37"/>
    <mergeCell ref="H37:I37"/>
    <mergeCell ref="H38:I38"/>
    <mergeCell ref="B13:E13"/>
    <mergeCell ref="B14:E14"/>
    <mergeCell ref="B15:E15"/>
    <mergeCell ref="A9:M9"/>
    <mergeCell ref="B27:D27"/>
    <mergeCell ref="B54:G54"/>
    <mergeCell ref="A35:C35"/>
    <mergeCell ref="A47:C47"/>
    <mergeCell ref="B65:D65"/>
    <mergeCell ref="B60:F60"/>
    <mergeCell ref="G60:G61"/>
    <mergeCell ref="C61:F61"/>
    <mergeCell ref="B55:F55"/>
    <mergeCell ref="B56:F56"/>
    <mergeCell ref="B38:F38"/>
    <mergeCell ref="B57:F57"/>
    <mergeCell ref="B58:F58"/>
    <mergeCell ref="B59:F59"/>
    <mergeCell ref="B62:F62"/>
    <mergeCell ref="G62:G63"/>
    <mergeCell ref="C63:F63"/>
    <mergeCell ref="H70:I70"/>
    <mergeCell ref="A72:C72"/>
    <mergeCell ref="A67:C67"/>
    <mergeCell ref="B70:F70"/>
    <mergeCell ref="B69:F69"/>
    <mergeCell ref="H69:I69"/>
    <mergeCell ref="A1:M1"/>
    <mergeCell ref="A45:M45"/>
    <mergeCell ref="B11:C11"/>
    <mergeCell ref="D11:F11"/>
    <mergeCell ref="A40:C40"/>
    <mergeCell ref="A20:C20"/>
    <mergeCell ref="B26:D26"/>
    <mergeCell ref="A18:M18"/>
    <mergeCell ref="B29:C29"/>
    <mergeCell ref="B30:C30"/>
    <mergeCell ref="D29:E29"/>
    <mergeCell ref="D30:E30"/>
    <mergeCell ref="B31:C31"/>
    <mergeCell ref="I2:K4"/>
    <mergeCell ref="D31:E31"/>
    <mergeCell ref="A5:M7"/>
  </mergeCells>
  <conditionalFormatting sqref="G70:I70">
    <cfRule type="expression" dxfId="120" priority="10">
      <formula>$B70="/"</formula>
    </cfRule>
    <cfRule type="expression" dxfId="119" priority="11">
      <formula>$B70="No evidence required at this submission stage"</formula>
    </cfRule>
  </conditionalFormatting>
  <conditionalFormatting sqref="H38">
    <cfRule type="expression" dxfId="118" priority="3">
      <formula>$B38="No evidence required at this submission stage"</formula>
    </cfRule>
    <cfRule type="expression" dxfId="117" priority="4">
      <formula>$B38="/"</formula>
    </cfRule>
  </conditionalFormatting>
  <conditionalFormatting sqref="G38">
    <cfRule type="expression" dxfId="116" priority="1">
      <formula>$B38="/"</formula>
    </cfRule>
    <cfRule type="expression" dxfId="115" priority="2">
      <formula>$B38="No evidence required at this submission stage"</formula>
    </cfRule>
  </conditionalFormatting>
  <dataValidations count="7">
    <dataValidation type="list" allowBlank="1" showInputMessage="1" showErrorMessage="1" sqref="F62 F56:F60" xr:uid="{00000000-0002-0000-2900-000000000000}">
      <formula1>"Select,Access provided,No access"</formula1>
    </dataValidation>
    <dataValidation type="list" allowBlank="1" showInputMessage="1" showErrorMessage="1" sqref="G55:G60 G62 E26:E27" xr:uid="{00000000-0002-0000-2900-000001000000}">
      <formula1>"Select,Yes,No"</formula1>
    </dataValidation>
    <dataValidation type="list" allowBlank="1" showInputMessage="1" showErrorMessage="1" sqref="G70 G38" xr:uid="{00000000-0002-0000-2900-000002000000}">
      <formula1>"Select,Submitted,Not submitted"</formula1>
    </dataValidation>
    <dataValidation type="list" allowBlank="1" showInputMessage="1" showErrorMessage="1" sqref="D11:F11" xr:uid="{00000000-0002-0000-2900-000003000000}">
      <formula1>"Select,Option A: LOTUS Certified base building,Option B: Base building with green attributes"</formula1>
    </dataValidation>
    <dataValidation allowBlank="1" showInputMessage="1" showErrorMessage="1" prompt="Such as: LOTUS NR, LOTUS BIO, LEED BD+C, Green Mark NRB, etc." sqref="D30:E30" xr:uid="{00000000-0002-0000-2900-000004000000}"/>
    <dataValidation allowBlank="1" showInputMessage="1" showErrorMessage="1" prompt="Such as: Certified, Silver, Gold, Gold Plus, Platinum, etc." sqref="D31:E31" xr:uid="{00000000-0002-0000-2900-000005000000}"/>
    <dataValidation type="list" allowBlank="1" showInputMessage="1" showErrorMessage="1" prompt="Subject to VGBC approval." sqref="D33:E33" xr:uid="{00000000-0002-0000-2900-000006000000}">
      <formula1>"Select,Certified,Silver,Gold,Platinum"</formula1>
    </dataValidation>
  </dataValidations>
  <hyperlinks>
    <hyperlink ref="L2" location="'SE-2 Tenancy lease'!B3" tooltip="SE-2" display="SE-2" xr:uid="{6C091E9A-C743-40EC-9CCB-1F5B254F08A0}"/>
    <hyperlink ref="L3" location="'SE-3 Green Transportation '!B3" tooltip="SE-3" display="SE-3" xr:uid="{D0ECEFCD-7823-4DA5-BFE8-4B9296DED7F6}"/>
    <hyperlink ref="M3" location="'SE-BPC'!B3" tooltip="SE-BPC" display="SE-BPC" xr:uid="{BED964E4-2A99-4BB9-B234-66007753036A}"/>
    <hyperlink ref="L4" location="'SE-4 Refrigerants'!B3" tooltip="SE-4" display="SE-4" xr:uid="{E350E5C7-17B7-4CE4-A54A-2B3A8F3AAC5B}"/>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tabColor rgb="FF76923C"/>
  </sheetPr>
  <dimension ref="A1:P152"/>
  <sheetViews>
    <sheetView showRowColHeaders="0" workbookViewId="0">
      <pane ySplit="8" topLeftCell="A9" activePane="bottomLeft" state="frozen"/>
      <selection activeCell="I2" sqref="I2:J4"/>
      <selection pane="bottomLeft" activeCell="A8" sqref="A8"/>
    </sheetView>
  </sheetViews>
  <sheetFormatPr defaultColWidth="0" defaultRowHeight="15" customHeight="1" zeroHeight="1" x14ac:dyDescent="0.25"/>
  <cols>
    <col min="1" max="1" width="3.7109375" style="35" customWidth="1"/>
    <col min="2" max="2" width="18.42578125" style="35" customWidth="1"/>
    <col min="3" max="3" width="18.7109375" style="35" customWidth="1"/>
    <col min="4" max="5" width="18.42578125" style="35" customWidth="1"/>
    <col min="6" max="6" width="17.28515625" style="35" customWidth="1"/>
    <col min="7" max="7" width="19.5703125" style="35" customWidth="1"/>
    <col min="8" max="8" width="22.140625" style="35" customWidth="1"/>
    <col min="9" max="9" width="16.7109375" style="35" customWidth="1"/>
    <col min="10" max="10" width="7.7109375" style="35" customWidth="1"/>
    <col min="11" max="11" width="7" style="35" customWidth="1"/>
    <col min="12" max="12" width="7.140625" style="35" customWidth="1"/>
    <col min="13" max="13" width="8.7109375" style="35" customWidth="1"/>
    <col min="14" max="14" width="9.140625" style="35" hidden="1" customWidth="1"/>
    <col min="15" max="15" width="23.7109375" style="35" hidden="1" customWidth="1"/>
    <col min="16" max="16" width="15.28515625" style="35" hidden="1" customWidth="1"/>
    <col min="17" max="16384" width="9.140625" style="35" hidden="1"/>
  </cols>
  <sheetData>
    <row r="1" spans="1:14" ht="24" customHeight="1" x14ac:dyDescent="0.25">
      <c r="A1" s="2310" t="s">
        <v>2304</v>
      </c>
      <c r="B1" s="2310"/>
      <c r="C1" s="2310"/>
      <c r="D1" s="2310"/>
      <c r="E1" s="2310"/>
      <c r="F1" s="2310"/>
      <c r="G1" s="2310"/>
      <c r="H1" s="2310"/>
      <c r="I1" s="2310"/>
      <c r="J1" s="2310"/>
      <c r="K1" s="2310"/>
      <c r="L1" s="2310"/>
      <c r="M1" s="2310"/>
    </row>
    <row r="2" spans="1:14" ht="15" customHeight="1" x14ac:dyDescent="0.25">
      <c r="A2" s="45"/>
      <c r="B2" s="46"/>
      <c r="C2" s="46"/>
      <c r="D2" s="46"/>
      <c r="E2" s="46"/>
      <c r="F2" s="45"/>
      <c r="G2" s="45"/>
      <c r="H2" s="45"/>
      <c r="I2" s="1753" t="s">
        <v>2294</v>
      </c>
      <c r="J2" s="1753"/>
      <c r="K2" s="1753"/>
      <c r="L2" s="130" t="s">
        <v>2295</v>
      </c>
      <c r="M2" s="130"/>
    </row>
    <row r="3" spans="1:14" ht="15" customHeight="1" x14ac:dyDescent="0.25">
      <c r="A3" s="45"/>
      <c r="B3" s="46"/>
      <c r="C3" s="46"/>
      <c r="D3" s="46"/>
      <c r="E3" s="46"/>
      <c r="F3" s="45"/>
      <c r="G3" s="45"/>
      <c r="H3" s="45"/>
      <c r="I3" s="1753"/>
      <c r="J3" s="1753"/>
      <c r="K3" s="1753"/>
      <c r="L3" s="130" t="s">
        <v>2313</v>
      </c>
      <c r="M3" s="130" t="s">
        <v>2321</v>
      </c>
    </row>
    <row r="4" spans="1:14" ht="15" customHeight="1" x14ac:dyDescent="0.25">
      <c r="A4" s="45"/>
      <c r="B4" s="46"/>
      <c r="C4" s="46"/>
      <c r="D4" s="46"/>
      <c r="E4" s="46"/>
      <c r="F4" s="45"/>
      <c r="G4" s="45"/>
      <c r="H4" s="45"/>
      <c r="I4" s="1850"/>
      <c r="J4" s="1850"/>
      <c r="K4" s="1850"/>
      <c r="L4" s="130" t="s">
        <v>2311</v>
      </c>
      <c r="M4" s="130"/>
    </row>
    <row r="5" spans="1:14" ht="21" customHeight="1" x14ac:dyDescent="0.25">
      <c r="A5" s="1851" t="s">
        <v>2642</v>
      </c>
      <c r="B5" s="1852"/>
      <c r="C5" s="1852"/>
      <c r="D5" s="1852"/>
      <c r="E5" s="1852"/>
      <c r="F5" s="1852"/>
      <c r="G5" s="1852"/>
      <c r="H5" s="1852"/>
      <c r="I5" s="1852"/>
      <c r="J5" s="1852"/>
      <c r="K5" s="1852"/>
      <c r="L5" s="1852"/>
      <c r="M5" s="1853"/>
    </row>
    <row r="6" spans="1:14" ht="21" customHeight="1" x14ac:dyDescent="0.25">
      <c r="A6" s="2320"/>
      <c r="B6" s="1660"/>
      <c r="C6" s="1660"/>
      <c r="D6" s="1660"/>
      <c r="E6" s="1660"/>
      <c r="F6" s="1660"/>
      <c r="G6" s="1660"/>
      <c r="H6" s="1660"/>
      <c r="I6" s="1660"/>
      <c r="J6" s="1660"/>
      <c r="K6" s="1660"/>
      <c r="L6" s="1660"/>
      <c r="M6" s="2321"/>
    </row>
    <row r="7" spans="1:14" ht="21" customHeight="1" x14ac:dyDescent="0.25">
      <c r="A7" s="1854"/>
      <c r="B7" s="1855"/>
      <c r="C7" s="1855"/>
      <c r="D7" s="1855"/>
      <c r="E7" s="1855"/>
      <c r="F7" s="1855"/>
      <c r="G7" s="1855"/>
      <c r="H7" s="1855"/>
      <c r="I7" s="1855"/>
      <c r="J7" s="1855"/>
      <c r="K7" s="1855"/>
      <c r="L7" s="1855"/>
      <c r="M7" s="1856"/>
    </row>
    <row r="8" spans="1:14" ht="12" customHeight="1" x14ac:dyDescent="0.25">
      <c r="A8" s="46"/>
      <c r="B8" s="46"/>
      <c r="C8" s="46"/>
      <c r="D8" s="46"/>
      <c r="E8" s="46"/>
      <c r="F8" s="45"/>
      <c r="G8" s="45"/>
      <c r="H8" s="45"/>
      <c r="I8" s="45"/>
      <c r="J8" s="45"/>
      <c r="K8" s="45"/>
      <c r="L8" s="45"/>
      <c r="M8" s="45"/>
    </row>
    <row r="9" spans="1:14" ht="18" customHeight="1" x14ac:dyDescent="0.25">
      <c r="A9" s="2311" t="s">
        <v>82</v>
      </c>
      <c r="B9" s="2311"/>
      <c r="C9" s="2311"/>
      <c r="D9" s="2311"/>
      <c r="E9" s="2311"/>
      <c r="F9" s="2311"/>
      <c r="G9" s="2311"/>
      <c r="H9" s="2311"/>
      <c r="I9" s="2311"/>
      <c r="J9" s="2311"/>
      <c r="K9" s="2311"/>
      <c r="L9" s="2311"/>
      <c r="M9" s="2311"/>
    </row>
    <row r="10" spans="1:14" x14ac:dyDescent="0.25">
      <c r="A10" s="45"/>
      <c r="B10" s="46"/>
      <c r="C10" s="46"/>
      <c r="D10" s="46"/>
      <c r="E10" s="46"/>
      <c r="F10" s="45"/>
      <c r="G10" s="45"/>
      <c r="H10" s="45"/>
      <c r="I10" s="45"/>
      <c r="J10" s="45"/>
      <c r="K10" s="45"/>
      <c r="L10" s="45"/>
      <c r="M10" s="45"/>
    </row>
    <row r="11" spans="1:14" ht="16.5" customHeight="1" x14ac:dyDescent="0.25">
      <c r="A11" s="45"/>
      <c r="B11" s="1744" t="s">
        <v>99</v>
      </c>
      <c r="C11" s="1938"/>
      <c r="D11" s="2314" t="s">
        <v>53</v>
      </c>
      <c r="E11" s="2316"/>
      <c r="F11" s="45"/>
      <c r="G11" s="45"/>
      <c r="H11" s="45"/>
      <c r="I11" s="45"/>
      <c r="J11" s="45"/>
      <c r="K11" s="45"/>
      <c r="L11" s="45"/>
      <c r="M11" s="45"/>
    </row>
    <row r="12" spans="1:14" x14ac:dyDescent="0.25">
      <c r="A12" s="45"/>
      <c r="B12" s="46"/>
      <c r="C12" s="46"/>
      <c r="D12" s="46"/>
      <c r="E12" s="46"/>
      <c r="F12" s="45"/>
      <c r="G12" s="45"/>
      <c r="H12" s="45"/>
      <c r="I12" s="45"/>
      <c r="J12" s="45"/>
      <c r="K12" s="45"/>
      <c r="L12" s="45"/>
      <c r="M12" s="45"/>
    </row>
    <row r="13" spans="1:14" ht="20.25" customHeight="1" x14ac:dyDescent="0.25">
      <c r="A13" s="45"/>
      <c r="B13" s="2335" t="s">
        <v>83</v>
      </c>
      <c r="C13" s="2336"/>
      <c r="D13" s="2336"/>
      <c r="E13" s="2336"/>
      <c r="F13" s="443" t="s">
        <v>64</v>
      </c>
      <c r="G13" s="443" t="s">
        <v>16</v>
      </c>
      <c r="H13" s="50" t="s">
        <v>133</v>
      </c>
      <c r="I13" s="45"/>
      <c r="J13" s="45"/>
      <c r="K13" s="45"/>
      <c r="L13" s="45"/>
      <c r="M13" s="45"/>
    </row>
    <row r="14" spans="1:14" ht="30" customHeight="1" x14ac:dyDescent="0.25">
      <c r="A14" s="45"/>
      <c r="B14" s="1797" t="s">
        <v>436</v>
      </c>
      <c r="C14" s="1798"/>
      <c r="D14" s="1798"/>
      <c r="E14" s="1799"/>
      <c r="F14" s="281">
        <v>1</v>
      </c>
      <c r="G14" s="281" t="str">
        <f>IF(D11="Option A: Long-term lease",C35,"/")</f>
        <v>/</v>
      </c>
      <c r="H14" s="281" t="str">
        <f>IF(D11="Option A: Long-term lease",C36,"/")</f>
        <v>/</v>
      </c>
      <c r="I14" s="45"/>
      <c r="J14" s="45"/>
      <c r="K14" s="45"/>
      <c r="L14" s="45"/>
      <c r="M14" s="45"/>
    </row>
    <row r="15" spans="1:14" ht="27" customHeight="1" x14ac:dyDescent="0.25">
      <c r="A15" s="45"/>
      <c r="B15" s="1797" t="s">
        <v>435</v>
      </c>
      <c r="C15" s="1798"/>
      <c r="D15" s="1798"/>
      <c r="E15" s="1799"/>
      <c r="F15" s="281">
        <v>1</v>
      </c>
      <c r="G15" s="281" t="str">
        <f>IF(D11="Option B: Green lease",C65,"/")</f>
        <v>/</v>
      </c>
      <c r="H15" s="281" t="str">
        <f>IF(D11="Option B: Green lease",C66,"/")</f>
        <v>/</v>
      </c>
      <c r="I15" s="45"/>
      <c r="J15" s="45"/>
      <c r="K15" s="45"/>
      <c r="L15" s="45"/>
      <c r="M15" s="45"/>
      <c r="N15" s="35">
        <f>IF(D11="Option A: Long-term lease",C35,0)+IF(D11="Option B: Green lease",C65,0)</f>
        <v>0</v>
      </c>
    </row>
    <row r="16" spans="1:14" x14ac:dyDescent="0.25">
      <c r="A16" s="45"/>
      <c r="B16" s="46"/>
      <c r="C16" s="46"/>
      <c r="D16" s="46"/>
      <c r="E16" s="46"/>
      <c r="F16" s="45"/>
      <c r="G16" s="45"/>
      <c r="H16" s="45"/>
      <c r="I16" s="45"/>
      <c r="J16" s="45"/>
      <c r="K16" s="45"/>
      <c r="L16" s="45"/>
      <c r="M16" s="45"/>
    </row>
    <row r="17" spans="1:14" ht="18" customHeight="1" x14ac:dyDescent="0.25">
      <c r="A17" s="2311" t="s">
        <v>601</v>
      </c>
      <c r="B17" s="2311"/>
      <c r="C17" s="2311"/>
      <c r="D17" s="2311"/>
      <c r="E17" s="2311"/>
      <c r="F17" s="2311"/>
      <c r="G17" s="2311"/>
      <c r="H17" s="2311"/>
      <c r="I17" s="2311"/>
      <c r="J17" s="2311"/>
      <c r="K17" s="2311"/>
      <c r="L17" s="2311"/>
      <c r="M17" s="2311"/>
    </row>
    <row r="18" spans="1:14" x14ac:dyDescent="0.25">
      <c r="A18" s="114"/>
      <c r="B18" s="118"/>
      <c r="C18" s="118"/>
      <c r="D18" s="118"/>
      <c r="E18" s="118"/>
      <c r="F18" s="114"/>
      <c r="G18" s="114"/>
      <c r="H18" s="114"/>
      <c r="I18" s="114"/>
      <c r="J18" s="114"/>
      <c r="K18" s="114"/>
      <c r="L18" s="114"/>
      <c r="M18" s="114"/>
    </row>
    <row r="19" spans="1:14" x14ac:dyDescent="0.25">
      <c r="A19" s="114"/>
      <c r="B19" s="571" t="s">
        <v>794</v>
      </c>
      <c r="C19" s="118"/>
      <c r="D19" s="118"/>
      <c r="E19" s="118"/>
      <c r="F19" s="114"/>
      <c r="G19" s="114"/>
      <c r="H19" s="114"/>
      <c r="I19" s="114"/>
      <c r="J19" s="114"/>
      <c r="K19" s="114"/>
      <c r="L19" s="114"/>
      <c r="M19" s="114"/>
    </row>
    <row r="20" spans="1:14" ht="11.25" customHeight="1" x14ac:dyDescent="0.25">
      <c r="A20" s="114"/>
      <c r="B20" s="118"/>
      <c r="C20" s="118"/>
      <c r="D20" s="118"/>
      <c r="E20" s="118"/>
      <c r="F20" s="114"/>
      <c r="G20" s="114"/>
      <c r="H20" s="114"/>
      <c r="I20" s="114"/>
      <c r="J20" s="114"/>
      <c r="K20" s="114"/>
      <c r="L20" s="114"/>
      <c r="M20" s="114"/>
    </row>
    <row r="21" spans="1:14" ht="12.75" customHeight="1" x14ac:dyDescent="0.25">
      <c r="A21" s="114"/>
      <c r="B21" s="118"/>
      <c r="C21" s="118"/>
      <c r="D21" s="118"/>
      <c r="E21" s="118"/>
      <c r="F21" s="114"/>
      <c r="G21" s="114"/>
      <c r="H21" s="114"/>
      <c r="I21" s="114"/>
      <c r="J21" s="114"/>
      <c r="K21" s="114"/>
      <c r="L21" s="114"/>
      <c r="M21" s="114"/>
    </row>
    <row r="22" spans="1:14" x14ac:dyDescent="0.25">
      <c r="A22" s="114"/>
      <c r="B22" s="572" t="s">
        <v>795</v>
      </c>
      <c r="C22" s="118"/>
      <c r="D22" s="118"/>
      <c r="E22" s="118"/>
      <c r="F22" s="114"/>
      <c r="G22" s="114"/>
      <c r="H22" s="114"/>
      <c r="I22" s="114"/>
      <c r="J22" s="114"/>
      <c r="K22" s="114"/>
      <c r="L22" s="114"/>
      <c r="M22" s="114"/>
    </row>
    <row r="23" spans="1:14" ht="12" customHeight="1" x14ac:dyDescent="0.25">
      <c r="A23" s="114"/>
      <c r="B23" s="118"/>
      <c r="C23" s="118"/>
      <c r="D23" s="118"/>
      <c r="E23" s="118"/>
      <c r="F23" s="114"/>
      <c r="G23" s="114"/>
      <c r="H23" s="114"/>
      <c r="I23" s="114"/>
      <c r="J23" s="114"/>
      <c r="K23" s="114"/>
      <c r="L23" s="114"/>
      <c r="M23" s="114"/>
    </row>
    <row r="24" spans="1:14" ht="18" customHeight="1" x14ac:dyDescent="0.25">
      <c r="A24" s="114"/>
      <c r="B24" s="1726" t="s">
        <v>954</v>
      </c>
      <c r="C24" s="1726"/>
      <c r="D24" s="1726"/>
      <c r="E24" s="573"/>
      <c r="F24" s="114"/>
      <c r="G24" s="114"/>
      <c r="H24" s="114"/>
      <c r="I24" s="114"/>
      <c r="J24" s="114"/>
      <c r="K24" s="114"/>
      <c r="L24" s="114"/>
      <c r="M24" s="114"/>
    </row>
    <row r="25" spans="1:14" x14ac:dyDescent="0.25">
      <c r="A25" s="114"/>
      <c r="B25" s="118"/>
      <c r="C25" s="118"/>
      <c r="D25" s="118"/>
      <c r="E25" s="118"/>
      <c r="F25" s="114"/>
      <c r="G25" s="114"/>
      <c r="H25" s="114"/>
      <c r="I25" s="114"/>
      <c r="J25" s="114"/>
      <c r="K25" s="114"/>
      <c r="L25" s="114"/>
      <c r="M25" s="114"/>
    </row>
    <row r="26" spans="1:14" ht="18" customHeight="1" x14ac:dyDescent="0.25">
      <c r="A26" s="114"/>
      <c r="B26" s="2343" t="s">
        <v>800</v>
      </c>
      <c r="C26" s="2344"/>
      <c r="D26" s="144" t="str">
        <f>IF(AND(E24&lt;&gt;"",E24&gt;=6),"Yes","No")</f>
        <v>No</v>
      </c>
      <c r="E26" s="114"/>
      <c r="F26" s="114"/>
      <c r="G26" s="114"/>
      <c r="H26" s="114"/>
      <c r="I26" s="114"/>
      <c r="J26" s="114"/>
      <c r="K26" s="114"/>
      <c r="L26" s="114"/>
      <c r="M26" s="114"/>
    </row>
    <row r="27" spans="1:14" ht="18" customHeight="1" x14ac:dyDescent="0.25">
      <c r="A27" s="114"/>
      <c r="B27" s="118"/>
      <c r="C27" s="118"/>
      <c r="D27" s="118"/>
      <c r="E27" s="118"/>
      <c r="F27" s="114"/>
      <c r="G27" s="114"/>
      <c r="H27" s="114"/>
      <c r="I27" s="114"/>
      <c r="J27" s="114"/>
      <c r="K27" s="114"/>
      <c r="L27" s="114"/>
      <c r="M27" s="114"/>
    </row>
    <row r="28" spans="1:14" ht="16.5" customHeight="1" x14ac:dyDescent="0.25">
      <c r="A28" s="2317" t="s">
        <v>84</v>
      </c>
      <c r="B28" s="2317"/>
      <c r="C28" s="118"/>
      <c r="D28" s="118"/>
      <c r="E28" s="118"/>
      <c r="F28" s="118"/>
      <c r="G28" s="118"/>
      <c r="H28" s="118"/>
      <c r="I28" s="118"/>
      <c r="J28" s="118"/>
      <c r="K28" s="118"/>
      <c r="L28" s="118"/>
      <c r="M28" s="118"/>
    </row>
    <row r="29" spans="1:14" ht="18" customHeight="1" x14ac:dyDescent="0.25">
      <c r="A29" s="118"/>
      <c r="B29" s="118"/>
      <c r="C29" s="118"/>
      <c r="D29" s="118"/>
      <c r="E29" s="114"/>
      <c r="F29" s="114"/>
      <c r="G29" s="114"/>
      <c r="H29" s="114"/>
      <c r="I29" s="114"/>
      <c r="J29" s="114"/>
      <c r="K29" s="114"/>
      <c r="L29" s="114"/>
      <c r="M29" s="114"/>
    </row>
    <row r="30" spans="1:14" ht="18" customHeight="1" x14ac:dyDescent="0.25">
      <c r="A30" s="114"/>
      <c r="B30" s="2322" t="s">
        <v>85</v>
      </c>
      <c r="C30" s="2323"/>
      <c r="D30" s="2323"/>
      <c r="E30" s="2323"/>
      <c r="F30" s="2323"/>
      <c r="G30" s="659" t="s">
        <v>907</v>
      </c>
      <c r="H30" s="2324" t="s">
        <v>908</v>
      </c>
      <c r="I30" s="2325"/>
      <c r="J30" s="114"/>
      <c r="K30" s="114"/>
      <c r="L30" s="114"/>
      <c r="M30" s="114"/>
    </row>
    <row r="31" spans="1:14" ht="27" customHeight="1" x14ac:dyDescent="0.25">
      <c r="A31" s="114"/>
      <c r="B31" s="1961" t="str">
        <f>Submittals!G120</f>
        <v>• Copy (or extracts) of the lease agreement showing the fixed term period of the lease</v>
      </c>
      <c r="C31" s="1962"/>
      <c r="D31" s="1962"/>
      <c r="E31" s="1962"/>
      <c r="F31" s="2291"/>
      <c r="G31" s="657" t="s">
        <v>53</v>
      </c>
      <c r="H31" s="1689"/>
      <c r="I31" s="1690"/>
      <c r="J31" s="114"/>
      <c r="K31" s="114"/>
      <c r="L31" s="114"/>
      <c r="M31" s="114"/>
      <c r="N31" s="35" t="str">
        <f>IF(OR(B31="/",B31="No evidence required at this submission stage"),"Yes",IF(G31="Submitted","Yes","No"))</f>
        <v>No</v>
      </c>
    </row>
    <row r="32" spans="1:14" x14ac:dyDescent="0.25">
      <c r="A32" s="114"/>
      <c r="B32" s="118"/>
      <c r="C32" s="118"/>
      <c r="D32" s="118"/>
      <c r="E32" s="118"/>
      <c r="F32" s="114"/>
      <c r="G32" s="114"/>
      <c r="H32" s="114"/>
      <c r="I32" s="114"/>
      <c r="J32" s="114"/>
      <c r="K32" s="114"/>
      <c r="L32" s="114"/>
      <c r="M32" s="114"/>
    </row>
    <row r="33" spans="1:13" ht="16.5" customHeight="1" x14ac:dyDescent="0.25">
      <c r="A33" s="2317" t="s">
        <v>5</v>
      </c>
      <c r="B33" s="2317"/>
      <c r="C33" s="118"/>
      <c r="D33" s="118"/>
      <c r="E33" s="118"/>
      <c r="F33" s="114"/>
      <c r="G33" s="114"/>
      <c r="H33" s="114"/>
      <c r="I33" s="114"/>
      <c r="J33" s="114"/>
      <c r="K33" s="114"/>
      <c r="L33" s="114"/>
      <c r="M33" s="114"/>
    </row>
    <row r="34" spans="1:13" x14ac:dyDescent="0.25">
      <c r="A34" s="114"/>
      <c r="B34" s="118"/>
      <c r="C34" s="118"/>
      <c r="D34" s="118"/>
      <c r="E34" s="118"/>
      <c r="F34" s="114"/>
      <c r="G34" s="114"/>
      <c r="H34" s="114"/>
      <c r="I34" s="114"/>
      <c r="J34" s="114"/>
      <c r="K34" s="114"/>
      <c r="L34" s="114"/>
      <c r="M34" s="114"/>
    </row>
    <row r="35" spans="1:13" ht="18" customHeight="1" x14ac:dyDescent="0.25">
      <c r="A35" s="114"/>
      <c r="B35" s="133" t="s">
        <v>16</v>
      </c>
      <c r="C35" s="8">
        <f>IF(D26="Yes",1,0)</f>
        <v>0</v>
      </c>
      <c r="D35" s="118"/>
      <c r="E35" s="118"/>
      <c r="F35" s="114"/>
      <c r="G35" s="114"/>
      <c r="H35" s="114"/>
      <c r="I35" s="114"/>
      <c r="J35" s="114"/>
      <c r="K35" s="114"/>
      <c r="L35" s="114"/>
      <c r="M35" s="114"/>
    </row>
    <row r="36" spans="1:13" ht="18" customHeight="1" x14ac:dyDescent="0.25">
      <c r="A36" s="114"/>
      <c r="B36" s="136" t="s">
        <v>133</v>
      </c>
      <c r="C36" s="8" t="str">
        <f>IF(AND(N31="Yes",C35&gt;0),"Yes","No")</f>
        <v>No</v>
      </c>
      <c r="D36" s="114"/>
      <c r="E36" s="114"/>
      <c r="F36" s="114"/>
      <c r="G36" s="114"/>
      <c r="H36" s="114"/>
      <c r="I36" s="114"/>
      <c r="J36" s="114"/>
      <c r="K36" s="114"/>
      <c r="L36" s="114"/>
      <c r="M36" s="114"/>
    </row>
    <row r="37" spans="1:13" ht="18" customHeight="1" x14ac:dyDescent="0.25">
      <c r="A37" s="114"/>
      <c r="B37" s="118"/>
      <c r="C37" s="118"/>
      <c r="D37" s="118"/>
      <c r="E37" s="118"/>
      <c r="F37" s="114"/>
      <c r="G37" s="114"/>
      <c r="H37" s="114"/>
      <c r="I37" s="114"/>
      <c r="J37" s="114"/>
      <c r="K37" s="114"/>
      <c r="L37" s="114"/>
      <c r="M37" s="114"/>
    </row>
    <row r="38" spans="1:13" ht="18" customHeight="1" x14ac:dyDescent="0.25">
      <c r="A38" s="2311" t="s">
        <v>717</v>
      </c>
      <c r="B38" s="2311"/>
      <c r="C38" s="2311"/>
      <c r="D38" s="2311"/>
      <c r="E38" s="2311"/>
      <c r="F38" s="2311"/>
      <c r="G38" s="2311"/>
      <c r="H38" s="2311"/>
      <c r="I38" s="2311"/>
      <c r="J38" s="2311"/>
      <c r="K38" s="2311"/>
      <c r="L38" s="2311"/>
      <c r="M38" s="2311"/>
    </row>
    <row r="39" spans="1:13" x14ac:dyDescent="0.25">
      <c r="A39" s="115"/>
      <c r="B39" s="115"/>
      <c r="C39" s="115"/>
      <c r="D39" s="115"/>
      <c r="E39" s="115"/>
      <c r="F39" s="115"/>
      <c r="G39" s="115"/>
      <c r="H39" s="115"/>
      <c r="I39" s="115"/>
      <c r="J39" s="115"/>
      <c r="K39" s="115"/>
      <c r="L39" s="115"/>
      <c r="M39" s="115"/>
    </row>
    <row r="40" spans="1:13" x14ac:dyDescent="0.25">
      <c r="A40" s="115"/>
      <c r="B40" s="690" t="s">
        <v>798</v>
      </c>
      <c r="C40" s="119"/>
      <c r="D40" s="119"/>
      <c r="E40" s="119"/>
      <c r="F40" s="115"/>
      <c r="G40" s="115"/>
      <c r="H40" s="115"/>
      <c r="I40" s="115"/>
      <c r="J40" s="115"/>
      <c r="K40" s="115"/>
      <c r="L40" s="115"/>
      <c r="M40" s="115"/>
    </row>
    <row r="41" spans="1:13" ht="18.75" customHeight="1" x14ac:dyDescent="0.25">
      <c r="A41" s="115"/>
      <c r="B41" s="119"/>
      <c r="C41" s="119"/>
      <c r="D41" s="119"/>
      <c r="E41" s="119"/>
      <c r="F41" s="115"/>
      <c r="G41" s="115"/>
      <c r="H41" s="115"/>
      <c r="I41" s="115"/>
      <c r="J41" s="115"/>
      <c r="K41" s="115"/>
      <c r="L41" s="115"/>
      <c r="M41" s="115"/>
    </row>
    <row r="42" spans="1:13" ht="15" customHeight="1" x14ac:dyDescent="0.25">
      <c r="A42" s="115"/>
      <c r="B42" s="2340" t="s">
        <v>1047</v>
      </c>
      <c r="C42" s="2341"/>
      <c r="D42" s="2341"/>
      <c r="E42" s="2341"/>
      <c r="F42" s="2341"/>
      <c r="G42" s="2341"/>
      <c r="H42" s="2341"/>
      <c r="I42" s="2341"/>
      <c r="J42" s="2341"/>
      <c r="K42" s="2342"/>
      <c r="L42" s="115"/>
      <c r="M42" s="115"/>
    </row>
    <row r="43" spans="1:13" ht="15" customHeight="1" x14ac:dyDescent="0.25">
      <c r="A43" s="115"/>
      <c r="B43" s="1782" t="s">
        <v>1277</v>
      </c>
      <c r="C43" s="1783"/>
      <c r="D43" s="1783"/>
      <c r="E43" s="1783"/>
      <c r="F43" s="1783"/>
      <c r="G43" s="1783"/>
      <c r="H43" s="1783"/>
      <c r="I43" s="1783"/>
      <c r="J43" s="1783"/>
      <c r="K43" s="1784"/>
      <c r="L43" s="115"/>
      <c r="M43" s="115"/>
    </row>
    <row r="44" spans="1:13" ht="15" customHeight="1" x14ac:dyDescent="0.25">
      <c r="A44" s="115"/>
      <c r="B44" s="2337" t="s">
        <v>1281</v>
      </c>
      <c r="C44" s="2338"/>
      <c r="D44" s="2338"/>
      <c r="E44" s="2338"/>
      <c r="F44" s="2338"/>
      <c r="G44" s="2338"/>
      <c r="H44" s="2338"/>
      <c r="I44" s="2338"/>
      <c r="J44" s="2338"/>
      <c r="K44" s="2339"/>
      <c r="L44" s="115"/>
      <c r="M44" s="115"/>
    </row>
    <row r="45" spans="1:13" ht="18.75" customHeight="1" x14ac:dyDescent="0.25">
      <c r="A45" s="115"/>
      <c r="B45" s="119"/>
      <c r="C45" s="119"/>
      <c r="D45" s="119"/>
      <c r="E45" s="119"/>
      <c r="F45" s="115"/>
      <c r="G45" s="115"/>
      <c r="H45" s="115"/>
      <c r="I45" s="115"/>
      <c r="J45" s="115"/>
      <c r="K45" s="115"/>
      <c r="L45" s="115"/>
      <c r="M45" s="115"/>
    </row>
    <row r="46" spans="1:13" x14ac:dyDescent="0.25">
      <c r="A46" s="115"/>
      <c r="B46" s="574" t="s">
        <v>986</v>
      </c>
      <c r="C46" s="119"/>
      <c r="D46" s="119"/>
      <c r="E46" s="119"/>
      <c r="F46" s="115"/>
      <c r="G46" s="115"/>
      <c r="H46" s="115"/>
      <c r="I46" s="115"/>
      <c r="J46" s="115"/>
      <c r="K46" s="115"/>
      <c r="L46" s="115"/>
      <c r="M46" s="115"/>
    </row>
    <row r="47" spans="1:13" x14ac:dyDescent="0.25">
      <c r="A47" s="115"/>
      <c r="B47" s="119"/>
      <c r="C47" s="119"/>
      <c r="D47" s="119"/>
      <c r="E47" s="119"/>
      <c r="F47" s="115"/>
      <c r="G47" s="691"/>
      <c r="H47" s="115"/>
      <c r="I47" s="115"/>
      <c r="J47" s="115"/>
      <c r="K47" s="115"/>
      <c r="L47" s="115"/>
      <c r="M47" s="115"/>
    </row>
    <row r="48" spans="1:13" ht="18" customHeight="1" x14ac:dyDescent="0.25">
      <c r="A48" s="115"/>
      <c r="B48" s="1726" t="str">
        <f>IF('Project information'!C7="Certification stage","• Has a Green lease been signed?","• Will a Green lease be signed?")</f>
        <v>• Has a Green lease been signed?</v>
      </c>
      <c r="C48" s="1726"/>
      <c r="D48" s="1726"/>
      <c r="E48" s="642" t="s">
        <v>53</v>
      </c>
      <c r="F48" s="115"/>
      <c r="G48" s="115"/>
      <c r="H48" s="115"/>
      <c r="I48" s="115"/>
      <c r="J48" s="115"/>
      <c r="K48" s="115"/>
      <c r="L48" s="115"/>
      <c r="M48" s="115"/>
    </row>
    <row r="49" spans="1:14" ht="16.5" customHeight="1" x14ac:dyDescent="0.25">
      <c r="A49" s="115"/>
      <c r="B49" s="119"/>
      <c r="C49" s="119"/>
      <c r="D49" s="119"/>
      <c r="E49" s="119"/>
      <c r="F49" s="115"/>
      <c r="G49" s="115"/>
      <c r="H49" s="115"/>
      <c r="I49" s="115"/>
      <c r="J49" s="115"/>
      <c r="K49" s="115"/>
      <c r="L49" s="115"/>
      <c r="M49" s="115"/>
    </row>
    <row r="50" spans="1:14" ht="18" customHeight="1" x14ac:dyDescent="0.25">
      <c r="A50" s="115"/>
      <c r="B50" s="2322" t="str">
        <f>IF('Project information'!C7="Certification stage","Does the Green lease include the following?","Will the Green lease include the following?")</f>
        <v>Does the Green lease include the following?</v>
      </c>
      <c r="C50" s="2323"/>
      <c r="D50" s="2323"/>
      <c r="E50" s="2323"/>
      <c r="F50" s="2323"/>
      <c r="G50" s="115"/>
      <c r="H50" s="115"/>
      <c r="I50" s="115"/>
      <c r="J50" s="115"/>
      <c r="K50" s="115"/>
      <c r="L50" s="115"/>
      <c r="M50" s="115"/>
    </row>
    <row r="51" spans="1:14" ht="18" customHeight="1" x14ac:dyDescent="0.25">
      <c r="A51" s="115"/>
      <c r="B51" s="1726" t="s">
        <v>1277</v>
      </c>
      <c r="C51" s="1726"/>
      <c r="D51" s="1726"/>
      <c r="E51" s="1726"/>
      <c r="F51" s="676" t="s">
        <v>53</v>
      </c>
      <c r="G51" s="115"/>
      <c r="H51" s="115"/>
      <c r="I51" s="115"/>
      <c r="J51" s="115"/>
      <c r="K51" s="115"/>
      <c r="L51" s="115"/>
      <c r="M51" s="115"/>
    </row>
    <row r="52" spans="1:14" ht="18" customHeight="1" x14ac:dyDescent="0.25">
      <c r="A52" s="115"/>
      <c r="B52" s="1726" t="s">
        <v>1279</v>
      </c>
      <c r="C52" s="1726"/>
      <c r="D52" s="1726"/>
      <c r="E52" s="1726"/>
      <c r="F52" s="676" t="s">
        <v>53</v>
      </c>
      <c r="G52" s="115"/>
      <c r="H52" s="115"/>
      <c r="I52" s="115"/>
      <c r="J52" s="115"/>
      <c r="K52" s="115"/>
      <c r="L52" s="115"/>
      <c r="M52" s="115"/>
    </row>
    <row r="53" spans="1:14" ht="18" customHeight="1" x14ac:dyDescent="0.25">
      <c r="A53" s="115"/>
      <c r="B53" s="1726" t="s">
        <v>1278</v>
      </c>
      <c r="C53" s="1726"/>
      <c r="D53" s="1726"/>
      <c r="E53" s="1726"/>
      <c r="F53" s="676" t="s">
        <v>53</v>
      </c>
      <c r="G53" s="115"/>
      <c r="H53" s="115"/>
      <c r="I53" s="115"/>
      <c r="J53" s="115"/>
      <c r="K53" s="115"/>
      <c r="L53" s="115"/>
      <c r="M53" s="115"/>
    </row>
    <row r="54" spans="1:14" ht="18" customHeight="1" x14ac:dyDescent="0.25">
      <c r="A54" s="115"/>
      <c r="B54" s="1726" t="s">
        <v>1280</v>
      </c>
      <c r="C54" s="1726"/>
      <c r="D54" s="1726"/>
      <c r="E54" s="1726"/>
      <c r="F54" s="676" t="s">
        <v>53</v>
      </c>
      <c r="G54" s="115"/>
      <c r="H54" s="115"/>
      <c r="I54" s="115"/>
      <c r="J54" s="115"/>
      <c r="K54" s="115"/>
      <c r="L54" s="115"/>
      <c r="M54" s="115"/>
    </row>
    <row r="55" spans="1:14" ht="17.25" customHeight="1" x14ac:dyDescent="0.25">
      <c r="A55" s="115"/>
      <c r="B55" s="119"/>
      <c r="C55" s="119"/>
      <c r="D55" s="119"/>
      <c r="E55" s="119"/>
      <c r="F55" s="115"/>
      <c r="G55" s="115"/>
      <c r="H55" s="115"/>
      <c r="I55" s="115"/>
      <c r="J55" s="115"/>
      <c r="K55" s="115"/>
      <c r="L55" s="115"/>
      <c r="M55" s="115"/>
    </row>
    <row r="56" spans="1:14" ht="18" customHeight="1" x14ac:dyDescent="0.25">
      <c r="A56" s="115"/>
      <c r="B56" s="2343" t="s">
        <v>799</v>
      </c>
      <c r="C56" s="2344"/>
      <c r="D56" s="144" t="str">
        <f>IF(AND(E48="Yes",COUNTIF(F51:F54,"Yes")=4),"Yes","No")</f>
        <v>No</v>
      </c>
      <c r="E56" s="119"/>
      <c r="F56" s="115"/>
      <c r="G56" s="115"/>
      <c r="H56" s="115"/>
      <c r="I56" s="115"/>
      <c r="J56" s="115"/>
      <c r="K56" s="115"/>
      <c r="L56" s="115"/>
      <c r="M56" s="115"/>
    </row>
    <row r="57" spans="1:14" ht="19.5" customHeight="1" x14ac:dyDescent="0.25">
      <c r="A57" s="115"/>
      <c r="B57" s="119"/>
      <c r="C57" s="119"/>
      <c r="D57" s="119"/>
      <c r="E57" s="119"/>
      <c r="F57" s="115"/>
      <c r="G57" s="115"/>
      <c r="H57" s="115"/>
      <c r="I57" s="115"/>
      <c r="J57" s="115"/>
      <c r="K57" s="115"/>
      <c r="L57" s="115"/>
      <c r="M57" s="115"/>
    </row>
    <row r="58" spans="1:14" ht="16.5" customHeight="1" x14ac:dyDescent="0.25">
      <c r="A58" s="2317" t="s">
        <v>84</v>
      </c>
      <c r="B58" s="2317"/>
      <c r="C58" s="119"/>
      <c r="D58" s="119"/>
      <c r="E58" s="119"/>
      <c r="F58" s="119"/>
      <c r="G58" s="119"/>
      <c r="H58" s="119"/>
      <c r="I58" s="119"/>
      <c r="J58" s="119"/>
      <c r="K58" s="119"/>
      <c r="L58" s="119"/>
      <c r="M58" s="119"/>
    </row>
    <row r="59" spans="1:14" ht="16.5" customHeight="1" x14ac:dyDescent="0.25">
      <c r="A59" s="115"/>
      <c r="B59" s="119"/>
      <c r="C59" s="119"/>
      <c r="D59" s="119"/>
      <c r="E59" s="115"/>
      <c r="F59" s="115"/>
      <c r="G59" s="115"/>
      <c r="H59" s="115"/>
      <c r="I59" s="115"/>
      <c r="J59" s="115"/>
      <c r="K59" s="115"/>
      <c r="L59" s="115"/>
      <c r="M59" s="115"/>
    </row>
    <row r="60" spans="1:14" ht="18" customHeight="1" x14ac:dyDescent="0.25">
      <c r="A60" s="115"/>
      <c r="B60" s="2322" t="s">
        <v>85</v>
      </c>
      <c r="C60" s="2323"/>
      <c r="D60" s="2323"/>
      <c r="E60" s="2323"/>
      <c r="F60" s="2323"/>
      <c r="G60" s="659" t="s">
        <v>907</v>
      </c>
      <c r="H60" s="2324" t="s">
        <v>908</v>
      </c>
      <c r="I60" s="2325"/>
      <c r="J60" s="672"/>
      <c r="K60" s="115"/>
      <c r="L60" s="115"/>
      <c r="M60" s="115"/>
    </row>
    <row r="61" spans="1:14" ht="30" customHeight="1" x14ac:dyDescent="0.25">
      <c r="A61" s="115"/>
      <c r="B61" s="1961" t="str">
        <f>Submittals!G121</f>
        <v>• Copy (or extracts) of the lease agreement showing the elements specific to a Green lease - OR - copy of a signed agreement between the landlord and tenant following LOTUS requirements</v>
      </c>
      <c r="C61" s="1962"/>
      <c r="D61" s="1962"/>
      <c r="E61" s="1962"/>
      <c r="F61" s="2291"/>
      <c r="G61" s="657" t="s">
        <v>53</v>
      </c>
      <c r="H61" s="1689"/>
      <c r="I61" s="1690"/>
      <c r="J61" s="115"/>
      <c r="K61" s="115"/>
      <c r="L61" s="115"/>
      <c r="M61" s="115"/>
      <c r="N61" s="35" t="str">
        <f>IF(OR(B61="/",B61="No evidence required at this submission stage"),"Yes",IF(G61="Submitted","Yes","No"))</f>
        <v>No</v>
      </c>
    </row>
    <row r="62" spans="1:14" ht="18" customHeight="1" x14ac:dyDescent="0.25">
      <c r="A62" s="115"/>
      <c r="B62" s="119"/>
      <c r="C62" s="119"/>
      <c r="D62" s="119"/>
      <c r="E62" s="119"/>
      <c r="F62" s="115"/>
      <c r="G62" s="673"/>
      <c r="H62" s="115"/>
      <c r="I62" s="115"/>
      <c r="J62" s="115"/>
      <c r="K62" s="115"/>
      <c r="L62" s="115"/>
      <c r="M62" s="115"/>
    </row>
    <row r="63" spans="1:14" ht="16.5" customHeight="1" x14ac:dyDescent="0.25">
      <c r="A63" s="2317" t="s">
        <v>5</v>
      </c>
      <c r="B63" s="2317"/>
      <c r="C63" s="119"/>
      <c r="D63" s="119"/>
      <c r="E63" s="119"/>
      <c r="F63" s="115"/>
      <c r="G63" s="115"/>
      <c r="H63" s="115"/>
      <c r="I63" s="115"/>
      <c r="J63" s="115"/>
      <c r="K63" s="115"/>
      <c r="L63" s="115"/>
      <c r="M63" s="115"/>
    </row>
    <row r="64" spans="1:14" x14ac:dyDescent="0.25">
      <c r="A64" s="115"/>
      <c r="B64" s="119"/>
      <c r="C64" s="119"/>
      <c r="D64" s="119"/>
      <c r="E64" s="119"/>
      <c r="F64" s="115"/>
      <c r="G64" s="115"/>
      <c r="H64" s="115"/>
      <c r="I64" s="115"/>
      <c r="J64" s="115"/>
      <c r="K64" s="115"/>
      <c r="L64" s="115"/>
      <c r="M64" s="115"/>
    </row>
    <row r="65" spans="1:13" ht="18" customHeight="1" x14ac:dyDescent="0.25">
      <c r="A65" s="115"/>
      <c r="B65" s="133" t="s">
        <v>16</v>
      </c>
      <c r="C65" s="8">
        <f>IF(D56="Yes",1,0)</f>
        <v>0</v>
      </c>
      <c r="D65" s="119"/>
      <c r="E65" s="119"/>
      <c r="F65" s="115"/>
      <c r="G65" s="115"/>
      <c r="H65" s="115"/>
      <c r="I65" s="115"/>
      <c r="J65" s="115"/>
      <c r="K65" s="115"/>
      <c r="L65" s="115"/>
      <c r="M65" s="115"/>
    </row>
    <row r="66" spans="1:13" ht="18" customHeight="1" x14ac:dyDescent="0.25">
      <c r="A66" s="115"/>
      <c r="B66" s="136" t="s">
        <v>133</v>
      </c>
      <c r="C66" s="8" t="str">
        <f>IF(AND(N61="Yes",C65&gt;0),"Yes","No")</f>
        <v>No</v>
      </c>
      <c r="D66" s="115"/>
      <c r="E66" s="115"/>
      <c r="F66" s="115"/>
      <c r="G66" s="115"/>
      <c r="H66" s="115"/>
      <c r="I66" s="115"/>
      <c r="J66" s="115"/>
      <c r="K66" s="115"/>
      <c r="L66" s="115"/>
      <c r="M66" s="115"/>
    </row>
    <row r="67" spans="1:13" x14ac:dyDescent="0.25">
      <c r="A67" s="115"/>
      <c r="B67" s="119"/>
      <c r="C67" s="119"/>
      <c r="D67" s="119"/>
      <c r="E67" s="119"/>
      <c r="F67" s="115"/>
      <c r="G67" s="115"/>
      <c r="H67" s="115"/>
      <c r="I67" s="115"/>
      <c r="J67" s="115"/>
      <c r="K67" s="115"/>
      <c r="L67" s="115"/>
      <c r="M67" s="115"/>
    </row>
    <row r="68" spans="1:13" ht="15" hidden="1" customHeight="1" x14ac:dyDescent="0.25"/>
    <row r="69" spans="1:13" ht="15" hidden="1" customHeight="1" x14ac:dyDescent="0.25"/>
    <row r="70" spans="1:13" ht="15" hidden="1" customHeight="1" x14ac:dyDescent="0.25"/>
    <row r="71" spans="1:13" ht="15" hidden="1" customHeight="1" x14ac:dyDescent="0.25"/>
    <row r="72" spans="1:13" ht="15" hidden="1" customHeight="1" x14ac:dyDescent="0.25"/>
    <row r="73" spans="1:13" ht="15" hidden="1" customHeight="1" x14ac:dyDescent="0.25"/>
    <row r="74" spans="1:13" ht="15" hidden="1" customHeight="1" x14ac:dyDescent="0.25"/>
    <row r="75" spans="1:13" ht="15" hidden="1" customHeight="1" x14ac:dyDescent="0.25"/>
    <row r="76" spans="1:13" ht="15" hidden="1" customHeight="1" x14ac:dyDescent="0.25"/>
    <row r="77" spans="1:13" ht="15" hidden="1" customHeight="1" x14ac:dyDescent="0.25"/>
    <row r="78" spans="1:13" ht="15" hidden="1" customHeight="1" x14ac:dyDescent="0.25"/>
    <row r="79" spans="1:13" ht="15" hidden="1" customHeight="1" x14ac:dyDescent="0.25"/>
    <row r="80" spans="1:13"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sheetData>
  <sheetProtection algorithmName="SHA-512" hashValue="6x42siHCeZ+e4IPC6sbCowP/CRjUAZNyyef88+L+PkO661nwluxTM7rzFXRDt+Cy626uJiwC+8DAIji1mRY2/w==" saltValue="Ux+NeQXSUZMWLOm572WgpA==" spinCount="100000" sheet="1" objects="1" scenarios="1" formatRows="0"/>
  <mergeCells count="35">
    <mergeCell ref="H60:I60"/>
    <mergeCell ref="H61:I61"/>
    <mergeCell ref="A58:B58"/>
    <mergeCell ref="A63:B63"/>
    <mergeCell ref="B48:D48"/>
    <mergeCell ref="B61:F61"/>
    <mergeCell ref="B60:F60"/>
    <mergeCell ref="B50:F50"/>
    <mergeCell ref="B51:E51"/>
    <mergeCell ref="B52:E52"/>
    <mergeCell ref="B54:E54"/>
    <mergeCell ref="B53:E53"/>
    <mergeCell ref="B56:C56"/>
    <mergeCell ref="B24:D24"/>
    <mergeCell ref="B26:C26"/>
    <mergeCell ref="A28:B28"/>
    <mergeCell ref="A17:M17"/>
    <mergeCell ref="A1:M1"/>
    <mergeCell ref="A5:M7"/>
    <mergeCell ref="B13:E13"/>
    <mergeCell ref="B14:E14"/>
    <mergeCell ref="B11:C11"/>
    <mergeCell ref="D11:E11"/>
    <mergeCell ref="I2:K4"/>
    <mergeCell ref="A9:M9"/>
    <mergeCell ref="B15:E15"/>
    <mergeCell ref="B30:F30"/>
    <mergeCell ref="B44:K44"/>
    <mergeCell ref="B43:K43"/>
    <mergeCell ref="B42:K42"/>
    <mergeCell ref="A33:B33"/>
    <mergeCell ref="H30:I30"/>
    <mergeCell ref="H31:I31"/>
    <mergeCell ref="A38:M38"/>
    <mergeCell ref="B31:F31"/>
  </mergeCells>
  <conditionalFormatting sqref="G61:H61">
    <cfRule type="expression" dxfId="114" priority="5">
      <formula>$B61="No evidence required at this submission stage"</formula>
    </cfRule>
    <cfRule type="expression" dxfId="113" priority="6">
      <formula>$B61="/"</formula>
    </cfRule>
  </conditionalFormatting>
  <conditionalFormatting sqref="G31">
    <cfRule type="expression" dxfId="112" priority="3">
      <formula>$B31="No evidence required at this submission stage"</formula>
    </cfRule>
    <cfRule type="expression" dxfId="111" priority="4">
      <formula>$B31="/"</formula>
    </cfRule>
  </conditionalFormatting>
  <conditionalFormatting sqref="H31">
    <cfRule type="expression" dxfId="110" priority="1">
      <formula>$B31="No evidence required at this submission stage"</formula>
    </cfRule>
    <cfRule type="expression" dxfId="109" priority="2">
      <formula>$B31="/"</formula>
    </cfRule>
  </conditionalFormatting>
  <dataValidations disablePrompts="1" count="4">
    <dataValidation type="list" allowBlank="1" showInputMessage="1" showErrorMessage="1" sqref="D11:E11" xr:uid="{00000000-0002-0000-2A00-000000000000}">
      <formula1>"Select,Option A: Long-term lease,Option B: Green lease"</formula1>
    </dataValidation>
    <dataValidation type="whole" allowBlank="1" showInputMessage="1" showErrorMessage="1" error="Enter the fixed term period of the lease (in years)" prompt="Enter the fixed term period of the lease (in years)" sqref="E24" xr:uid="{00000000-0002-0000-2A00-000001000000}">
      <formula1>0</formula1>
      <formula2>100</formula2>
    </dataValidation>
    <dataValidation type="list" allowBlank="1" showInputMessage="1" showErrorMessage="1" sqref="G61 G31" xr:uid="{00000000-0002-0000-2A00-000002000000}">
      <formula1>"Select,Submitted,Not submitted"</formula1>
    </dataValidation>
    <dataValidation type="list" allowBlank="1" showInputMessage="1" showErrorMessage="1" sqref="E48 F51:F54" xr:uid="{00000000-0002-0000-2A00-000003000000}">
      <formula1>"Select,Yes,No"</formula1>
    </dataValidation>
  </dataValidations>
  <hyperlinks>
    <hyperlink ref="L3" location="'SE-3 Green Transportation '!B3" tooltip="SE-3" display="SE-3" xr:uid="{F842BA71-0DF3-4D60-AFA3-D6E9B0F3C326}"/>
    <hyperlink ref="M3" location="'SE-BPC'!B3" tooltip="SE-BPC" display="SE-BPC" xr:uid="{6C522867-3DB2-4FD8-814E-D4EE01C4377D}"/>
    <hyperlink ref="L4" location="'SE-4 Refrigerants'!B3" tooltip="SE-4" display="SE-4" xr:uid="{5D50D482-2E7F-42FB-BB11-EEB6059D9FE8}"/>
    <hyperlink ref="L2" location="'SE-1 Base building '!B3" tooltip="SE-1" display="SE-1" xr:uid="{021FAFA6-57AB-4025-ACB2-A2D7AAC27F0D}"/>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76923C"/>
  </sheetPr>
  <dimension ref="A1:P224"/>
  <sheetViews>
    <sheetView showRowColHeaders="0" workbookViewId="0">
      <pane ySplit="8" topLeftCell="A9" activePane="bottomLeft" state="frozen"/>
      <selection activeCell="I2" sqref="I2:J4"/>
      <selection pane="bottomLeft" activeCell="A5" sqref="A5:M7"/>
    </sheetView>
  </sheetViews>
  <sheetFormatPr defaultColWidth="0" defaultRowHeight="15" zeroHeight="1" x14ac:dyDescent="0.25"/>
  <cols>
    <col min="1" max="1" width="3.7109375" style="35" customWidth="1"/>
    <col min="2" max="2" width="19.85546875" style="35" customWidth="1"/>
    <col min="3" max="3" width="19.42578125" style="35" customWidth="1"/>
    <col min="4" max="4" width="19" style="35" customWidth="1"/>
    <col min="5" max="5" width="18.42578125" style="35" customWidth="1"/>
    <col min="6" max="6" width="17.28515625" style="35" customWidth="1"/>
    <col min="7" max="7" width="17.42578125" style="35" customWidth="1"/>
    <col min="8" max="8" width="21.7109375" style="35" customWidth="1"/>
    <col min="9" max="9" width="15.42578125" style="35" customWidth="1"/>
    <col min="10" max="10" width="11" style="35" customWidth="1"/>
    <col min="11" max="12" width="9.28515625" style="35" customWidth="1"/>
    <col min="13" max="13" width="8.85546875" style="35" customWidth="1"/>
    <col min="14" max="14" width="9.140625" style="35" hidden="1" customWidth="1"/>
    <col min="15" max="15" width="23.7109375" style="35" hidden="1" customWidth="1"/>
    <col min="16" max="16" width="15.28515625" style="35" hidden="1" customWidth="1"/>
    <col min="17" max="16384" width="9.140625" style="35" hidden="1"/>
  </cols>
  <sheetData>
    <row r="1" spans="1:14" ht="24" customHeight="1" x14ac:dyDescent="0.25">
      <c r="A1" s="2310" t="s">
        <v>2305</v>
      </c>
      <c r="B1" s="2310"/>
      <c r="C1" s="2310"/>
      <c r="D1" s="2310"/>
      <c r="E1" s="2310"/>
      <c r="F1" s="2310"/>
      <c r="G1" s="2310"/>
      <c r="H1" s="2310"/>
      <c r="I1" s="2310"/>
      <c r="J1" s="2310"/>
      <c r="K1" s="2310"/>
      <c r="L1" s="2310"/>
      <c r="M1" s="2310"/>
    </row>
    <row r="2" spans="1:14" ht="15" customHeight="1" x14ac:dyDescent="0.25">
      <c r="A2" s="45"/>
      <c r="B2" s="46"/>
      <c r="C2" s="46"/>
      <c r="D2" s="46"/>
      <c r="E2" s="46"/>
      <c r="F2" s="45"/>
      <c r="G2" s="45"/>
      <c r="H2" s="45"/>
      <c r="I2" s="1753" t="s">
        <v>2294</v>
      </c>
      <c r="J2" s="1753"/>
      <c r="K2" s="1753"/>
      <c r="L2" s="130" t="s">
        <v>2295</v>
      </c>
      <c r="M2" s="130"/>
    </row>
    <row r="3" spans="1:14" ht="15" customHeight="1" x14ac:dyDescent="0.25">
      <c r="A3" s="45"/>
      <c r="B3" s="46"/>
      <c r="C3" s="46"/>
      <c r="D3" s="46"/>
      <c r="E3" s="46"/>
      <c r="F3" s="45"/>
      <c r="G3" s="45"/>
      <c r="H3" s="45"/>
      <c r="I3" s="1753"/>
      <c r="J3" s="1753"/>
      <c r="K3" s="1753"/>
      <c r="L3" s="130" t="s">
        <v>2312</v>
      </c>
      <c r="M3" s="130" t="s">
        <v>2321</v>
      </c>
    </row>
    <row r="4" spans="1:14" ht="15" customHeight="1" x14ac:dyDescent="0.25">
      <c r="A4" s="45"/>
      <c r="B4" s="46"/>
      <c r="C4" s="46"/>
      <c r="D4" s="46"/>
      <c r="E4" s="46"/>
      <c r="F4" s="45"/>
      <c r="G4" s="45"/>
      <c r="H4" s="45"/>
      <c r="I4" s="1850"/>
      <c r="J4" s="1850"/>
      <c r="K4" s="1850"/>
      <c r="L4" s="130" t="s">
        <v>2311</v>
      </c>
      <c r="M4" s="130"/>
    </row>
    <row r="5" spans="1:14" ht="21" customHeight="1" x14ac:dyDescent="0.25">
      <c r="A5" s="1851" t="s">
        <v>2643</v>
      </c>
      <c r="B5" s="1852"/>
      <c r="C5" s="1852"/>
      <c r="D5" s="1852"/>
      <c r="E5" s="1852"/>
      <c r="F5" s="1852"/>
      <c r="G5" s="1852"/>
      <c r="H5" s="1852"/>
      <c r="I5" s="1852"/>
      <c r="J5" s="1852"/>
      <c r="K5" s="1852"/>
      <c r="L5" s="1852"/>
      <c r="M5" s="1853"/>
    </row>
    <row r="6" spans="1:14" ht="21" customHeight="1" x14ac:dyDescent="0.25">
      <c r="A6" s="2320"/>
      <c r="B6" s="1660"/>
      <c r="C6" s="1660"/>
      <c r="D6" s="1660"/>
      <c r="E6" s="1660"/>
      <c r="F6" s="1660"/>
      <c r="G6" s="1660"/>
      <c r="H6" s="1660"/>
      <c r="I6" s="1660"/>
      <c r="J6" s="1660"/>
      <c r="K6" s="1660"/>
      <c r="L6" s="1660"/>
      <c r="M6" s="2321"/>
    </row>
    <row r="7" spans="1:14" ht="21" customHeight="1" x14ac:dyDescent="0.25">
      <c r="A7" s="1854"/>
      <c r="B7" s="1855"/>
      <c r="C7" s="1855"/>
      <c r="D7" s="1855"/>
      <c r="E7" s="1855"/>
      <c r="F7" s="1855"/>
      <c r="G7" s="1855"/>
      <c r="H7" s="1855"/>
      <c r="I7" s="1855"/>
      <c r="J7" s="1855"/>
      <c r="K7" s="1855"/>
      <c r="L7" s="1855"/>
      <c r="M7" s="1856"/>
    </row>
    <row r="8" spans="1:14" ht="12" customHeight="1" x14ac:dyDescent="0.25">
      <c r="A8" s="46"/>
      <c r="B8" s="46"/>
      <c r="C8" s="46"/>
      <c r="D8" s="46"/>
      <c r="E8" s="46"/>
      <c r="F8" s="45"/>
      <c r="G8" s="45"/>
      <c r="H8" s="45"/>
      <c r="I8" s="45"/>
      <c r="J8" s="45"/>
      <c r="K8" s="45"/>
      <c r="L8" s="45"/>
      <c r="M8" s="45"/>
    </row>
    <row r="9" spans="1:14" ht="18" customHeight="1" x14ac:dyDescent="0.25">
      <c r="A9" s="2311" t="s">
        <v>82</v>
      </c>
      <c r="B9" s="2311"/>
      <c r="C9" s="2311"/>
      <c r="D9" s="2311"/>
      <c r="E9" s="2311"/>
      <c r="F9" s="2311"/>
      <c r="G9" s="2311"/>
      <c r="H9" s="2311"/>
      <c r="I9" s="2311"/>
      <c r="J9" s="2311"/>
      <c r="K9" s="2311"/>
      <c r="L9" s="2311"/>
      <c r="M9" s="2311"/>
    </row>
    <row r="10" spans="1:14" x14ac:dyDescent="0.25">
      <c r="A10" s="45"/>
      <c r="B10" s="46"/>
      <c r="C10" s="46"/>
      <c r="D10" s="46"/>
      <c r="E10" s="46"/>
      <c r="F10" s="45"/>
      <c r="G10" s="45"/>
      <c r="H10" s="45"/>
      <c r="I10" s="45"/>
      <c r="J10" s="45"/>
      <c r="K10" s="45"/>
      <c r="L10" s="45"/>
      <c r="M10" s="45"/>
    </row>
    <row r="11" spans="1:14" ht="24" customHeight="1" x14ac:dyDescent="0.25">
      <c r="A11" s="45"/>
      <c r="B11" s="2335" t="s">
        <v>274</v>
      </c>
      <c r="C11" s="2336"/>
      <c r="D11" s="2336"/>
      <c r="E11" s="2336"/>
      <c r="F11" s="443" t="s">
        <v>64</v>
      </c>
      <c r="G11" s="443" t="s">
        <v>16</v>
      </c>
      <c r="H11" s="50" t="s">
        <v>133</v>
      </c>
      <c r="I11" s="45"/>
      <c r="J11" s="45"/>
      <c r="K11" s="45"/>
      <c r="L11" s="45"/>
      <c r="M11" s="45"/>
    </row>
    <row r="12" spans="1:14" ht="38.25" customHeight="1" x14ac:dyDescent="0.25">
      <c r="A12" s="45"/>
      <c r="B12" s="1797" t="s">
        <v>276</v>
      </c>
      <c r="C12" s="1798"/>
      <c r="D12" s="1798"/>
      <c r="E12" s="1799"/>
      <c r="F12" s="276">
        <v>1</v>
      </c>
      <c r="G12" s="276">
        <f>C39</f>
        <v>0</v>
      </c>
      <c r="H12" s="276" t="str">
        <f>C40</f>
        <v>No</v>
      </c>
      <c r="I12" s="45"/>
      <c r="J12" s="45"/>
      <c r="K12" s="45"/>
      <c r="L12" s="45"/>
      <c r="M12" s="45"/>
      <c r="N12" s="35" t="str">
        <f>IF(G12&lt;&gt;0,IF(H12="No","No","Yes"),"Yes")</f>
        <v>Yes</v>
      </c>
    </row>
    <row r="13" spans="1:14" ht="39" customHeight="1" x14ac:dyDescent="0.25">
      <c r="A13" s="45"/>
      <c r="B13" s="1797" t="s">
        <v>275</v>
      </c>
      <c r="C13" s="1798"/>
      <c r="D13" s="1798"/>
      <c r="E13" s="1799"/>
      <c r="F13" s="49">
        <v>1</v>
      </c>
      <c r="G13" s="49">
        <f>C77</f>
        <v>0</v>
      </c>
      <c r="H13" s="49" t="str">
        <f>C40</f>
        <v>No</v>
      </c>
      <c r="I13" s="45"/>
      <c r="J13" s="45"/>
      <c r="K13" s="45"/>
      <c r="L13" s="45"/>
      <c r="M13" s="45"/>
      <c r="N13" s="35" t="str">
        <f t="shared" ref="N13:N14" si="0">IF(G13&lt;&gt;0,IF(H13="No","No","Yes"),"Yes")</f>
        <v>Yes</v>
      </c>
    </row>
    <row r="14" spans="1:14" ht="28.5" customHeight="1" x14ac:dyDescent="0.25">
      <c r="A14" s="45"/>
      <c r="B14" s="1797" t="s">
        <v>1739</v>
      </c>
      <c r="C14" s="1798"/>
      <c r="D14" s="1798"/>
      <c r="E14" s="1799"/>
      <c r="F14" s="276">
        <v>1</v>
      </c>
      <c r="G14" s="276">
        <f>C104</f>
        <v>0</v>
      </c>
      <c r="H14" s="276" t="str">
        <f>C105</f>
        <v>No</v>
      </c>
      <c r="I14" s="45"/>
      <c r="J14" s="45"/>
      <c r="K14" s="45"/>
      <c r="L14" s="45"/>
      <c r="M14" s="45"/>
      <c r="N14" s="35" t="str">
        <f t="shared" si="0"/>
        <v>Yes</v>
      </c>
    </row>
    <row r="15" spans="1:14" ht="19.5" customHeight="1" x14ac:dyDescent="0.25">
      <c r="A15" s="45"/>
      <c r="B15" s="1810" t="s">
        <v>25</v>
      </c>
      <c r="C15" s="1811"/>
      <c r="D15" s="1811"/>
      <c r="E15" s="1812"/>
      <c r="F15" s="498">
        <v>2</v>
      </c>
      <c r="G15" s="498">
        <f>MIN(2,SUM(G12:G14))</f>
        <v>0</v>
      </c>
      <c r="H15" s="498" t="str">
        <f>IF(COUNTIF(H12:H14,"No")=3,"No",IF(COUNTIF(N12:N14,"Yes")=3,"Yes","No"))</f>
        <v>No</v>
      </c>
      <c r="I15" s="45"/>
      <c r="J15" s="45"/>
      <c r="K15" s="45"/>
      <c r="L15" s="45"/>
      <c r="M15" s="45"/>
    </row>
    <row r="16" spans="1:14" ht="21" customHeight="1" x14ac:dyDescent="0.25">
      <c r="A16" s="45"/>
      <c r="B16" s="46"/>
      <c r="C16" s="46"/>
      <c r="D16" s="46"/>
      <c r="E16" s="46"/>
      <c r="F16" s="45"/>
      <c r="G16" s="630" t="str">
        <f>IFERROR(IF(G12+G13+G14=3,"→ One EP-1 point can be targeted",""),"")</f>
        <v/>
      </c>
      <c r="H16" s="45"/>
      <c r="I16" s="45"/>
      <c r="J16" s="45"/>
      <c r="K16" s="45"/>
      <c r="L16" s="45"/>
      <c r="M16" s="45"/>
    </row>
    <row r="17" spans="1:13" ht="18" customHeight="1" x14ac:dyDescent="0.25">
      <c r="A17" s="2311" t="s">
        <v>602</v>
      </c>
      <c r="B17" s="2311"/>
      <c r="C17" s="2311"/>
      <c r="D17" s="2311"/>
      <c r="E17" s="2311"/>
      <c r="F17" s="2311"/>
      <c r="G17" s="2311"/>
      <c r="H17" s="2311"/>
      <c r="I17" s="2311"/>
      <c r="J17" s="2311"/>
      <c r="K17" s="2311"/>
      <c r="L17" s="2311"/>
      <c r="M17" s="2311"/>
    </row>
    <row r="18" spans="1:13" x14ac:dyDescent="0.25">
      <c r="A18" s="45"/>
      <c r="B18" s="45"/>
      <c r="C18" s="45"/>
      <c r="D18" s="45"/>
      <c r="E18" s="45"/>
      <c r="F18" s="45"/>
      <c r="G18" s="45"/>
      <c r="H18" s="45"/>
      <c r="I18" s="45"/>
      <c r="J18" s="45"/>
      <c r="K18" s="45"/>
      <c r="L18" s="45"/>
      <c r="M18" s="45"/>
    </row>
    <row r="19" spans="1:13" ht="16.5" customHeight="1" x14ac:dyDescent="0.25">
      <c r="A19" s="2317" t="s">
        <v>102</v>
      </c>
      <c r="B19" s="2317"/>
      <c r="C19" s="2317"/>
      <c r="D19" s="46"/>
      <c r="E19" s="46"/>
      <c r="F19" s="45"/>
      <c r="G19" s="45"/>
      <c r="H19" s="45"/>
      <c r="I19" s="45"/>
      <c r="J19" s="45"/>
      <c r="K19" s="45"/>
      <c r="L19" s="45"/>
      <c r="M19" s="45"/>
    </row>
    <row r="20" spans="1:13" x14ac:dyDescent="0.25">
      <c r="A20" s="45"/>
      <c r="B20" s="46"/>
      <c r="C20" s="46"/>
      <c r="D20" s="46"/>
      <c r="E20" s="45"/>
      <c r="F20" s="45"/>
      <c r="G20" s="45"/>
      <c r="H20" s="45"/>
      <c r="I20" s="45"/>
      <c r="J20" s="45"/>
      <c r="K20" s="45"/>
      <c r="L20" s="45"/>
      <c r="M20" s="45"/>
    </row>
    <row r="21" spans="1:13" x14ac:dyDescent="0.25">
      <c r="A21" s="45"/>
      <c r="B21" s="650" t="s">
        <v>605</v>
      </c>
      <c r="C21" s="46"/>
      <c r="D21" s="46"/>
      <c r="E21" s="45"/>
      <c r="F21" s="45"/>
      <c r="G21" s="45"/>
      <c r="H21" s="45"/>
      <c r="I21" s="45"/>
      <c r="J21" s="45"/>
      <c r="K21" s="45"/>
      <c r="L21" s="45"/>
      <c r="M21" s="45"/>
    </row>
    <row r="22" spans="1:13" ht="20.25" customHeight="1" x14ac:dyDescent="0.25">
      <c r="A22" s="46"/>
      <c r="B22" s="46"/>
      <c r="C22" s="46"/>
      <c r="D22" s="46"/>
      <c r="E22" s="46"/>
      <c r="F22" s="46"/>
      <c r="G22" s="45"/>
      <c r="H22" s="45"/>
      <c r="I22" s="45"/>
      <c r="J22" s="45"/>
      <c r="K22" s="45"/>
      <c r="L22" s="45"/>
      <c r="M22" s="45"/>
    </row>
    <row r="23" spans="1:13" x14ac:dyDescent="0.25">
      <c r="A23" s="46"/>
      <c r="B23" s="535" t="s">
        <v>987</v>
      </c>
      <c r="C23" s="46"/>
      <c r="D23" s="46"/>
      <c r="E23" s="46"/>
      <c r="F23" s="46"/>
      <c r="G23" s="45"/>
      <c r="H23" s="45"/>
      <c r="I23" s="45"/>
      <c r="J23" s="45"/>
      <c r="K23" s="45"/>
      <c r="L23" s="45"/>
      <c r="M23" s="45"/>
    </row>
    <row r="24" spans="1:13" ht="12" customHeight="1" x14ac:dyDescent="0.25">
      <c r="A24" s="45"/>
      <c r="B24" s="46"/>
      <c r="C24" s="46"/>
      <c r="D24" s="46"/>
      <c r="E24" s="46"/>
      <c r="F24" s="46"/>
      <c r="G24" s="45"/>
      <c r="H24" s="45"/>
      <c r="I24" s="45"/>
      <c r="J24" s="45"/>
      <c r="K24" s="45"/>
      <c r="L24" s="45"/>
      <c r="M24" s="45"/>
    </row>
    <row r="25" spans="1:13" ht="18" customHeight="1" x14ac:dyDescent="0.25">
      <c r="A25" s="45"/>
      <c r="B25" s="1726" t="str">
        <f>IF('Project information'!$C$7="Certification stage","• Is access to covered and secured bicycle parking spaces provided to project occupants?","• Will access to covered and secured bicycle parking spaces be provided to project occupants?")</f>
        <v>• Is access to covered and secured bicycle parking spaces provided to project occupants?</v>
      </c>
      <c r="C25" s="1726"/>
      <c r="D25" s="1726"/>
      <c r="E25" s="1726"/>
      <c r="F25" s="1726"/>
      <c r="G25" s="652" t="s">
        <v>53</v>
      </c>
      <c r="H25" s="45"/>
      <c r="I25" s="45"/>
      <c r="J25" s="45"/>
      <c r="K25" s="45"/>
      <c r="L25" s="45"/>
      <c r="M25" s="45"/>
    </row>
    <row r="26" spans="1:13" ht="18" customHeight="1" x14ac:dyDescent="0.25">
      <c r="A26" s="45"/>
      <c r="B26" s="1726" t="str">
        <f>IF('Project information'!$C$7="Certification stage","• Is access to shower facilities provided to project occupants?","• Will access to shower facilities be provided to project occupants?")</f>
        <v>• Is access to shower facilities provided to project occupants?</v>
      </c>
      <c r="C26" s="1726"/>
      <c r="D26" s="1726"/>
      <c r="E26" s="1726"/>
      <c r="F26" s="1726"/>
      <c r="G26" s="661" t="s">
        <v>53</v>
      </c>
      <c r="H26" s="45"/>
      <c r="I26" s="45"/>
      <c r="J26" s="45"/>
      <c r="K26" s="45"/>
      <c r="L26" s="45"/>
      <c r="M26" s="45"/>
    </row>
    <row r="27" spans="1:13" ht="18" customHeight="1" x14ac:dyDescent="0.25">
      <c r="A27" s="45"/>
      <c r="B27" s="1726" t="str">
        <f>IF('Project information'!$C$7="Certification stage","• Is access to lockers/personal storage space provided to project occupants?","• Will access to lockers/personal storage space be provided to project occupants?")</f>
        <v>• Is access to lockers/personal storage space provided to project occupants?</v>
      </c>
      <c r="C27" s="1726"/>
      <c r="D27" s="1726"/>
      <c r="E27" s="1726"/>
      <c r="F27" s="1726"/>
      <c r="G27" s="661" t="s">
        <v>53</v>
      </c>
      <c r="H27" s="45"/>
      <c r="I27" s="45"/>
      <c r="J27" s="45"/>
      <c r="K27" s="45"/>
      <c r="L27" s="45"/>
      <c r="M27" s="45"/>
    </row>
    <row r="28" spans="1:13" ht="16.5" customHeight="1" x14ac:dyDescent="0.25">
      <c r="A28" s="45"/>
      <c r="B28" s="46"/>
      <c r="C28" s="46"/>
      <c r="D28" s="46"/>
      <c r="E28" s="45"/>
      <c r="F28" s="45"/>
      <c r="G28" s="45"/>
      <c r="H28" s="45"/>
      <c r="I28" s="45"/>
      <c r="J28" s="45"/>
      <c r="K28" s="45"/>
      <c r="L28" s="45"/>
      <c r="M28" s="45"/>
    </row>
    <row r="29" spans="1:13" ht="18" customHeight="1" x14ac:dyDescent="0.25">
      <c r="A29" s="45"/>
      <c r="B29" s="2343" t="s">
        <v>606</v>
      </c>
      <c r="C29" s="2344"/>
      <c r="D29" s="144" t="str">
        <f>IF(AND(G25="Yes",G26="Yes",G27="Yes"),"Yes","No")</f>
        <v>No</v>
      </c>
      <c r="E29" s="45"/>
      <c r="F29" s="45"/>
      <c r="G29" s="45"/>
      <c r="H29" s="45"/>
      <c r="I29" s="45"/>
      <c r="J29" s="45"/>
      <c r="K29" s="45"/>
      <c r="L29" s="45"/>
      <c r="M29" s="45"/>
    </row>
    <row r="30" spans="1:13" ht="18.75" customHeight="1" x14ac:dyDescent="0.25">
      <c r="A30" s="45"/>
      <c r="B30" s="46"/>
      <c r="C30" s="46"/>
      <c r="D30" s="46"/>
      <c r="E30" s="45"/>
      <c r="F30" s="45"/>
      <c r="G30" s="45"/>
      <c r="H30" s="45"/>
      <c r="I30" s="45"/>
      <c r="J30" s="45"/>
      <c r="K30" s="45"/>
      <c r="L30" s="45"/>
      <c r="M30" s="45"/>
    </row>
    <row r="31" spans="1:13" ht="16.5" customHeight="1" x14ac:dyDescent="0.25">
      <c r="A31" s="2317" t="s">
        <v>84</v>
      </c>
      <c r="B31" s="2317"/>
      <c r="C31" s="2317"/>
      <c r="D31" s="46"/>
      <c r="E31" s="46"/>
      <c r="F31" s="46"/>
      <c r="G31" s="46"/>
      <c r="H31" s="46"/>
      <c r="I31" s="46"/>
      <c r="J31" s="46"/>
      <c r="K31" s="46"/>
      <c r="L31" s="46"/>
      <c r="M31" s="46"/>
    </row>
    <row r="32" spans="1:13" x14ac:dyDescent="0.25">
      <c r="A32" s="45"/>
      <c r="B32" s="46"/>
      <c r="C32" s="46"/>
      <c r="D32" s="46"/>
      <c r="E32" s="45"/>
      <c r="F32" s="45"/>
      <c r="G32" s="45"/>
      <c r="H32" s="45"/>
      <c r="I32" s="45"/>
      <c r="J32" s="45"/>
      <c r="K32" s="45"/>
      <c r="L32" s="45"/>
      <c r="M32" s="45"/>
    </row>
    <row r="33" spans="1:14" ht="18" customHeight="1" x14ac:dyDescent="0.25">
      <c r="A33" s="45"/>
      <c r="B33" s="2322" t="s">
        <v>85</v>
      </c>
      <c r="C33" s="2323"/>
      <c r="D33" s="2323"/>
      <c r="E33" s="2323"/>
      <c r="F33" s="2323"/>
      <c r="G33" s="659" t="s">
        <v>907</v>
      </c>
      <c r="H33" s="2324" t="s">
        <v>908</v>
      </c>
      <c r="I33" s="2325"/>
      <c r="J33" s="45"/>
      <c r="K33" s="45"/>
      <c r="L33" s="45"/>
      <c r="M33" s="45"/>
    </row>
    <row r="34" spans="1:14" ht="27" customHeight="1" x14ac:dyDescent="0.25">
      <c r="A34" s="45"/>
      <c r="B34" s="1961" t="str">
        <f>Submittals!G124</f>
        <v>• Plans indicating location, size and capacity of parking spaces, showering facilities and lockers</v>
      </c>
      <c r="C34" s="1962"/>
      <c r="D34" s="1962"/>
      <c r="E34" s="1962"/>
      <c r="F34" s="2291"/>
      <c r="G34" s="658" t="s">
        <v>53</v>
      </c>
      <c r="H34" s="1689"/>
      <c r="I34" s="1690"/>
      <c r="J34" s="45"/>
      <c r="K34" s="45"/>
      <c r="L34" s="45"/>
      <c r="M34" s="45"/>
      <c r="N34" s="35" t="str">
        <f>IF(OR(B34="/",B34="No evidence required at this submission stage"),"Yes",IF(G34="Submitted","Yes","No"))</f>
        <v>No</v>
      </c>
    </row>
    <row r="35" spans="1:14" ht="27" customHeight="1" x14ac:dyDescent="0.25">
      <c r="A35" s="45"/>
      <c r="B35" s="1961" t="str">
        <f>Submittals!G125</f>
        <v>• Photographs of the parking spaces, showering facilities and lockers</v>
      </c>
      <c r="C35" s="1962"/>
      <c r="D35" s="1962"/>
      <c r="E35" s="1962"/>
      <c r="F35" s="2291"/>
      <c r="G35" s="658" t="s">
        <v>53</v>
      </c>
      <c r="H35" s="1689"/>
      <c r="I35" s="1690"/>
      <c r="J35" s="45"/>
      <c r="K35" s="45"/>
      <c r="L35" s="45"/>
      <c r="M35" s="45"/>
      <c r="N35" s="35" t="str">
        <f>IF(OR(B35="/",B35="No evidence required at this submission stage"),"Yes",IF(G35="Submitted","Yes","No"))</f>
        <v>No</v>
      </c>
    </row>
    <row r="36" spans="1:14" ht="18" customHeight="1" x14ac:dyDescent="0.25">
      <c r="A36" s="45"/>
      <c r="B36" s="46"/>
      <c r="C36" s="46"/>
      <c r="D36" s="46"/>
      <c r="E36" s="46"/>
      <c r="F36" s="45"/>
      <c r="G36" s="45"/>
      <c r="H36" s="45"/>
      <c r="I36" s="45"/>
      <c r="J36" s="45"/>
      <c r="K36" s="45"/>
      <c r="L36" s="45"/>
      <c r="M36" s="45"/>
    </row>
    <row r="37" spans="1:14" ht="16.5" customHeight="1" x14ac:dyDescent="0.25">
      <c r="A37" s="2317" t="s">
        <v>5</v>
      </c>
      <c r="B37" s="2317"/>
      <c r="C37" s="2317"/>
      <c r="D37" s="46"/>
      <c r="E37" s="46"/>
      <c r="F37" s="45"/>
      <c r="G37" s="45"/>
      <c r="H37" s="45"/>
      <c r="I37" s="45"/>
      <c r="J37" s="45"/>
      <c r="K37" s="45"/>
      <c r="L37" s="45"/>
      <c r="M37" s="45"/>
    </row>
    <row r="38" spans="1:14" ht="16.5" customHeight="1" x14ac:dyDescent="0.25">
      <c r="A38" s="45"/>
      <c r="B38" s="46"/>
      <c r="C38" s="46"/>
      <c r="D38" s="46"/>
      <c r="E38" s="46"/>
      <c r="F38" s="45"/>
      <c r="G38" s="45"/>
      <c r="H38" s="45"/>
      <c r="I38" s="45"/>
      <c r="J38" s="45"/>
      <c r="K38" s="45"/>
      <c r="L38" s="45"/>
      <c r="M38" s="45"/>
    </row>
    <row r="39" spans="1:14" ht="18" customHeight="1" x14ac:dyDescent="0.25">
      <c r="A39" s="45"/>
      <c r="B39" s="133" t="s">
        <v>16</v>
      </c>
      <c r="C39" s="8">
        <f>IF(D29="Yes",1,0)</f>
        <v>0</v>
      </c>
      <c r="D39" s="46"/>
      <c r="E39" s="46"/>
      <c r="F39" s="45"/>
      <c r="G39" s="45"/>
      <c r="H39" s="45"/>
      <c r="I39" s="45"/>
      <c r="J39" s="45"/>
      <c r="K39" s="45"/>
      <c r="L39" s="45"/>
      <c r="M39" s="45"/>
    </row>
    <row r="40" spans="1:14" ht="18" customHeight="1" x14ac:dyDescent="0.25">
      <c r="A40" s="45"/>
      <c r="B40" s="136" t="s">
        <v>133</v>
      </c>
      <c r="C40" s="8" t="str">
        <f>IF(AND(COUNTIF(N34:N35,"Yes")=2,C39&gt;0),"Yes","No")</f>
        <v>No</v>
      </c>
      <c r="D40" s="45"/>
      <c r="E40" s="45"/>
      <c r="F40" s="45"/>
      <c r="G40" s="45"/>
      <c r="H40" s="45"/>
      <c r="I40" s="45"/>
      <c r="J40" s="45"/>
      <c r="K40" s="45"/>
      <c r="L40" s="45"/>
      <c r="M40" s="45"/>
    </row>
    <row r="41" spans="1:14" ht="21" customHeight="1" x14ac:dyDescent="0.25">
      <c r="A41" s="45"/>
      <c r="B41" s="46"/>
      <c r="C41" s="46"/>
      <c r="D41" s="46"/>
      <c r="E41" s="46"/>
      <c r="F41" s="45"/>
      <c r="G41" s="45"/>
      <c r="H41" s="45"/>
      <c r="I41" s="45"/>
      <c r="J41" s="45"/>
      <c r="K41" s="45"/>
      <c r="L41" s="45"/>
      <c r="M41" s="45"/>
    </row>
    <row r="42" spans="1:14" ht="18.75" customHeight="1" x14ac:dyDescent="0.25">
      <c r="A42" s="2311" t="s">
        <v>603</v>
      </c>
      <c r="B42" s="2311"/>
      <c r="C42" s="2311"/>
      <c r="D42" s="2311"/>
      <c r="E42" s="2311"/>
      <c r="F42" s="2311"/>
      <c r="G42" s="2311"/>
      <c r="H42" s="2311"/>
      <c r="I42" s="2311"/>
      <c r="J42" s="2311"/>
      <c r="K42" s="2311"/>
      <c r="L42" s="2311"/>
      <c r="M42" s="2311"/>
    </row>
    <row r="43" spans="1:14" x14ac:dyDescent="0.25">
      <c r="A43" s="45"/>
      <c r="B43" s="45"/>
      <c r="C43" s="45"/>
      <c r="D43" s="45"/>
      <c r="E43" s="45"/>
      <c r="F43" s="45"/>
      <c r="G43" s="45"/>
      <c r="H43" s="45"/>
      <c r="I43" s="45"/>
      <c r="J43" s="45"/>
      <c r="K43" s="45"/>
      <c r="L43" s="45"/>
      <c r="M43" s="45"/>
    </row>
    <row r="44" spans="1:14" ht="16.5" customHeight="1" x14ac:dyDescent="0.25">
      <c r="A44" s="2317" t="s">
        <v>102</v>
      </c>
      <c r="B44" s="2317"/>
      <c r="C44" s="2317"/>
      <c r="D44" s="46"/>
      <c r="E44" s="46"/>
      <c r="F44" s="45"/>
      <c r="G44" s="45"/>
      <c r="H44" s="45"/>
      <c r="I44" s="45"/>
      <c r="J44" s="45"/>
      <c r="K44" s="45"/>
      <c r="L44" s="45"/>
      <c r="M44" s="45"/>
    </row>
    <row r="45" spans="1:14" x14ac:dyDescent="0.25">
      <c r="A45" s="45"/>
      <c r="B45" s="46"/>
      <c r="C45" s="46"/>
      <c r="D45" s="46"/>
      <c r="E45" s="46"/>
      <c r="F45" s="45"/>
      <c r="G45" s="45"/>
      <c r="H45" s="45"/>
      <c r="I45" s="45"/>
      <c r="J45" s="45"/>
      <c r="K45" s="45"/>
      <c r="L45" s="45"/>
      <c r="M45" s="45"/>
    </row>
    <row r="46" spans="1:14" x14ac:dyDescent="0.25">
      <c r="A46" s="45"/>
      <c r="B46" s="650" t="s">
        <v>612</v>
      </c>
      <c r="C46" s="46"/>
      <c r="D46" s="46"/>
      <c r="E46" s="46"/>
      <c r="F46" s="45"/>
      <c r="G46" s="45"/>
      <c r="H46" s="45"/>
      <c r="I46" s="45"/>
      <c r="J46" s="45"/>
      <c r="K46" s="45"/>
      <c r="L46" s="45"/>
      <c r="M46" s="45"/>
    </row>
    <row r="47" spans="1:14" x14ac:dyDescent="0.25">
      <c r="A47" s="45"/>
      <c r="B47" s="868" t="s">
        <v>1620</v>
      </c>
      <c r="C47" s="46"/>
      <c r="D47" s="46"/>
      <c r="E47" s="46"/>
      <c r="F47" s="45"/>
      <c r="G47" s="45"/>
      <c r="H47" s="45"/>
      <c r="I47" s="45"/>
      <c r="J47" s="45"/>
      <c r="K47" s="45"/>
      <c r="L47" s="45"/>
      <c r="M47" s="45"/>
    </row>
    <row r="48" spans="1:14" x14ac:dyDescent="0.25">
      <c r="A48" s="45"/>
      <c r="B48" s="868"/>
      <c r="C48" s="46"/>
      <c r="D48" s="46"/>
      <c r="E48" s="46"/>
      <c r="F48" s="45"/>
      <c r="G48" s="45"/>
      <c r="H48" s="45"/>
      <c r="I48" s="45"/>
      <c r="J48" s="45"/>
      <c r="K48" s="45"/>
      <c r="L48" s="45"/>
      <c r="M48" s="45"/>
    </row>
    <row r="49" spans="1:14" x14ac:dyDescent="0.25">
      <c r="A49" s="45"/>
      <c r="B49" s="544" t="s">
        <v>609</v>
      </c>
      <c r="C49" s="46"/>
      <c r="D49" s="46"/>
      <c r="E49" s="46"/>
      <c r="F49" s="45"/>
      <c r="G49" s="45"/>
      <c r="H49" s="45"/>
      <c r="I49" s="45"/>
      <c r="J49" s="45"/>
      <c r="K49" s="45"/>
      <c r="L49" s="45"/>
      <c r="M49" s="45"/>
    </row>
    <row r="50" spans="1:14" x14ac:dyDescent="0.25">
      <c r="A50" s="45"/>
      <c r="B50" s="609" t="s">
        <v>1041</v>
      </c>
      <c r="C50" s="45"/>
      <c r="D50" s="45"/>
      <c r="E50" s="45"/>
      <c r="F50" s="45"/>
      <c r="G50" s="45"/>
      <c r="H50" s="45"/>
      <c r="I50" s="45"/>
      <c r="J50" s="45"/>
      <c r="K50" s="45"/>
      <c r="L50" s="45"/>
      <c r="M50" s="45"/>
    </row>
    <row r="51" spans="1:14" ht="15" customHeight="1" x14ac:dyDescent="0.25">
      <c r="A51" s="45"/>
      <c r="B51" s="45"/>
      <c r="C51" s="45"/>
      <c r="D51" s="45"/>
      <c r="E51" s="45"/>
      <c r="F51" s="45"/>
      <c r="G51" s="45"/>
      <c r="H51" s="45"/>
      <c r="I51" s="45"/>
      <c r="J51" s="45"/>
      <c r="K51" s="45"/>
      <c r="L51" s="45"/>
      <c r="M51" s="45"/>
    </row>
    <row r="52" spans="1:14" ht="15" customHeight="1" x14ac:dyDescent="0.25">
      <c r="A52" s="45"/>
      <c r="B52" s="535" t="s">
        <v>1514</v>
      </c>
      <c r="C52" s="45"/>
      <c r="D52" s="45"/>
      <c r="E52" s="45"/>
      <c r="F52" s="45"/>
      <c r="G52" s="45"/>
      <c r="H52" s="45"/>
      <c r="I52" s="45"/>
      <c r="J52" s="45"/>
      <c r="K52" s="45"/>
      <c r="L52" s="45"/>
      <c r="M52" s="45"/>
    </row>
    <row r="53" spans="1:14" ht="12.75" customHeight="1" x14ac:dyDescent="0.25">
      <c r="A53" s="45"/>
      <c r="B53" s="45"/>
      <c r="C53" s="45"/>
      <c r="D53" s="45"/>
      <c r="E53" s="45"/>
      <c r="F53" s="45"/>
      <c r="G53" s="45"/>
      <c r="H53" s="45"/>
      <c r="I53" s="45"/>
      <c r="J53" s="45"/>
      <c r="K53" s="45"/>
      <c r="L53" s="45"/>
      <c r="M53" s="45"/>
    </row>
    <row r="54" spans="1:14" ht="27" customHeight="1" x14ac:dyDescent="0.25">
      <c r="A54" s="45"/>
      <c r="B54" s="452" t="s">
        <v>608</v>
      </c>
      <c r="C54" s="256" t="s">
        <v>1042</v>
      </c>
      <c r="D54" s="674" t="s">
        <v>611</v>
      </c>
      <c r="E54" s="255" t="s">
        <v>607</v>
      </c>
      <c r="F54" s="45"/>
      <c r="G54" s="45"/>
      <c r="H54" s="45"/>
      <c r="I54" s="45"/>
      <c r="J54" s="45"/>
      <c r="K54" s="45"/>
      <c r="L54" s="45"/>
      <c r="M54" s="45"/>
    </row>
    <row r="55" spans="1:14" ht="19.5" customHeight="1" x14ac:dyDescent="0.25">
      <c r="A55" s="45"/>
      <c r="B55" s="111" t="s">
        <v>53</v>
      </c>
      <c r="C55" s="662"/>
      <c r="D55" s="111"/>
      <c r="E55" s="440"/>
      <c r="F55" s="45"/>
      <c r="G55" s="45"/>
      <c r="H55" s="45"/>
      <c r="I55" s="45"/>
      <c r="J55" s="45"/>
      <c r="K55" s="45"/>
      <c r="L55" s="45"/>
      <c r="M55" s="45"/>
      <c r="N55" s="35">
        <f>IF(OR(B55="Select",B55="",D55=""),0,IF(D55&lt;=500,1,IF(D55&lt;=700,2,0)))</f>
        <v>0</v>
      </c>
    </row>
    <row r="56" spans="1:14" ht="19.5" customHeight="1" x14ac:dyDescent="0.25">
      <c r="A56" s="45"/>
      <c r="B56" s="662" t="s">
        <v>53</v>
      </c>
      <c r="C56" s="662"/>
      <c r="D56" s="662"/>
      <c r="E56" s="662"/>
      <c r="F56" s="45"/>
      <c r="G56" s="45"/>
      <c r="H56" s="45"/>
      <c r="I56" s="45"/>
      <c r="J56" s="45"/>
      <c r="K56" s="45"/>
      <c r="L56" s="45"/>
      <c r="M56" s="45"/>
      <c r="N56" s="35">
        <f>IF(OR(B56="Select",B56="",D56=""),0,IF(D56&lt;=500,1,IF(D56&lt;=700,2,0)))</f>
        <v>0</v>
      </c>
    </row>
    <row r="57" spans="1:14" ht="19.5" customHeight="1" x14ac:dyDescent="0.25">
      <c r="A57" s="45"/>
      <c r="B57" s="440" t="s">
        <v>53</v>
      </c>
      <c r="C57" s="662"/>
      <c r="D57" s="440"/>
      <c r="E57" s="440"/>
      <c r="F57" s="45"/>
      <c r="G57" s="45"/>
      <c r="H57" s="45"/>
      <c r="I57" s="45"/>
      <c r="J57" s="45"/>
      <c r="K57" s="45"/>
      <c r="L57" s="45"/>
      <c r="M57" s="45"/>
      <c r="N57" s="35">
        <f>IF(OR(B57="Select",B57="",D57=""),0,IF(D57&lt;=500,1,IF(D57&lt;=700,2,0)))</f>
        <v>0</v>
      </c>
    </row>
    <row r="58" spans="1:14" ht="15" customHeight="1" x14ac:dyDescent="0.25">
      <c r="A58" s="45"/>
      <c r="B58" s="46"/>
      <c r="C58" s="46"/>
      <c r="D58" s="46"/>
      <c r="E58" s="46"/>
      <c r="F58" s="45"/>
      <c r="G58" s="45"/>
      <c r="H58" s="45"/>
      <c r="I58" s="45"/>
      <c r="J58" s="45"/>
      <c r="K58" s="45"/>
      <c r="L58" s="45"/>
      <c r="M58" s="45"/>
    </row>
    <row r="59" spans="1:14" ht="18" customHeight="1" x14ac:dyDescent="0.25">
      <c r="A59" s="45"/>
      <c r="B59" s="2328" t="s">
        <v>610</v>
      </c>
      <c r="C59" s="2328"/>
      <c r="D59" s="2328"/>
      <c r="E59" s="144" t="str">
        <f>IF(SUMIF(N55:N57,2,E55:E57)&gt;=2,"Yes",IF(SUMIF(N55:N57,1,E55:E57)&gt;=1,"Yes","No"))</f>
        <v>No</v>
      </c>
      <c r="F59" s="45"/>
      <c r="G59" s="45"/>
      <c r="H59" s="45"/>
      <c r="I59" s="45"/>
      <c r="J59" s="45"/>
      <c r="K59" s="45"/>
      <c r="L59" s="45"/>
      <c r="M59" s="45"/>
    </row>
    <row r="60" spans="1:14" ht="20.25" customHeight="1" x14ac:dyDescent="0.25">
      <c r="A60" s="45"/>
      <c r="B60" s="46"/>
      <c r="C60" s="46"/>
      <c r="D60" s="46"/>
      <c r="E60" s="46"/>
      <c r="F60" s="45"/>
      <c r="G60" s="45"/>
      <c r="H60" s="45"/>
      <c r="I60" s="45"/>
      <c r="J60" s="45"/>
      <c r="K60" s="45"/>
      <c r="L60" s="45"/>
      <c r="M60" s="45"/>
    </row>
    <row r="61" spans="1:14" x14ac:dyDescent="0.25">
      <c r="A61" s="45"/>
      <c r="B61" s="535" t="s">
        <v>1621</v>
      </c>
      <c r="C61" s="46"/>
      <c r="D61" s="46"/>
      <c r="E61" s="451"/>
      <c r="F61" s="45"/>
      <c r="G61" s="45"/>
      <c r="H61" s="45"/>
      <c r="I61" s="45"/>
      <c r="J61" s="45"/>
      <c r="K61" s="45"/>
      <c r="L61" s="45"/>
      <c r="M61" s="45"/>
    </row>
    <row r="62" spans="1:14" ht="12" customHeight="1" x14ac:dyDescent="0.25">
      <c r="A62" s="45"/>
      <c r="B62" s="46"/>
      <c r="C62" s="46"/>
      <c r="D62" s="46"/>
      <c r="E62" s="451"/>
      <c r="F62" s="45"/>
      <c r="G62" s="45"/>
      <c r="H62" s="45"/>
      <c r="I62" s="45"/>
      <c r="J62" s="45"/>
      <c r="K62" s="45"/>
      <c r="L62" s="45"/>
      <c r="M62" s="45"/>
    </row>
    <row r="63" spans="1:14" ht="16.5" customHeight="1" x14ac:dyDescent="0.25">
      <c r="A63" s="45"/>
      <c r="B63" s="1954" t="str">
        <f>IF('Project information'!$C$7="Certification stage","• Is information on public transportation displayed to occupants?","• Will information on public transportation be displayed to occupants?")</f>
        <v>• Is information on public transportation displayed to occupants?</v>
      </c>
      <c r="C63" s="1955"/>
      <c r="D63" s="2334"/>
      <c r="E63" s="936" t="s">
        <v>53</v>
      </c>
      <c r="F63" s="331" t="s">
        <v>604</v>
      </c>
      <c r="G63" s="936"/>
      <c r="H63" s="45"/>
      <c r="I63" s="45"/>
      <c r="J63" s="45"/>
      <c r="K63" s="45"/>
      <c r="L63" s="45"/>
      <c r="M63" s="45"/>
    </row>
    <row r="64" spans="1:14" ht="16.5" customHeight="1" x14ac:dyDescent="0.25">
      <c r="A64" s="45"/>
      <c r="B64" s="1954" t="str">
        <f>IF('Project information'!$C$7="Certification stage","• Does the information include routes and schedules?","• Will the information include routes and schedules?")</f>
        <v>• Does the information include routes and schedules?</v>
      </c>
      <c r="C64" s="1955"/>
      <c r="D64" s="2334"/>
      <c r="E64" s="936" t="s">
        <v>53</v>
      </c>
      <c r="F64" s="45"/>
      <c r="G64" s="45"/>
      <c r="H64" s="45"/>
      <c r="I64" s="45"/>
      <c r="J64" s="45"/>
      <c r="K64" s="45"/>
      <c r="L64" s="45"/>
      <c r="M64" s="45"/>
    </row>
    <row r="65" spans="1:14" ht="16.5" customHeight="1" x14ac:dyDescent="0.25">
      <c r="A65" s="45"/>
      <c r="B65" s="1954" t="s">
        <v>955</v>
      </c>
      <c r="C65" s="1955"/>
      <c r="D65" s="2334"/>
      <c r="E65" s="936" t="s">
        <v>53</v>
      </c>
      <c r="F65" s="45"/>
      <c r="G65" s="45"/>
      <c r="H65" s="45"/>
      <c r="I65" s="45"/>
      <c r="J65" s="45"/>
      <c r="K65" s="45"/>
      <c r="L65" s="45"/>
      <c r="M65" s="45"/>
    </row>
    <row r="66" spans="1:14" x14ac:dyDescent="0.25">
      <c r="A66" s="45"/>
      <c r="B66" s="46"/>
      <c r="C66" s="46"/>
      <c r="D66" s="46"/>
      <c r="E66" s="46"/>
      <c r="F66" s="45"/>
      <c r="G66" s="45"/>
      <c r="H66" s="45"/>
      <c r="I66" s="45"/>
      <c r="J66" s="45"/>
      <c r="K66" s="45"/>
      <c r="L66" s="45"/>
      <c r="M66" s="45"/>
    </row>
    <row r="67" spans="1:14" ht="18" customHeight="1" x14ac:dyDescent="0.25">
      <c r="A67" s="45"/>
      <c r="B67" s="2328" t="s">
        <v>1622</v>
      </c>
      <c r="C67" s="2328"/>
      <c r="D67" s="2328"/>
      <c r="E67" s="144" t="str">
        <f>IF(AND(E63="Yes",E64="Yes",E65="Yes",G63&lt;&gt;""),"Yes","No")</f>
        <v>No</v>
      </c>
      <c r="F67" s="45"/>
      <c r="G67" s="45"/>
      <c r="H67" s="45"/>
      <c r="I67" s="45"/>
      <c r="J67" s="45"/>
      <c r="K67" s="45"/>
      <c r="L67" s="45"/>
      <c r="M67" s="45"/>
    </row>
    <row r="68" spans="1:14" ht="19.5" customHeight="1" x14ac:dyDescent="0.25">
      <c r="A68" s="45"/>
      <c r="B68" s="46"/>
      <c r="C68" s="46"/>
      <c r="D68" s="46"/>
      <c r="E68" s="46"/>
      <c r="F68" s="45"/>
      <c r="G68" s="45"/>
      <c r="H68" s="45"/>
      <c r="I68" s="45"/>
      <c r="J68" s="45"/>
      <c r="K68" s="45"/>
      <c r="L68" s="45"/>
      <c r="M68" s="45"/>
    </row>
    <row r="69" spans="1:14" ht="16.5" customHeight="1" x14ac:dyDescent="0.25">
      <c r="A69" s="2317" t="s">
        <v>84</v>
      </c>
      <c r="B69" s="2317"/>
      <c r="C69" s="2317"/>
      <c r="D69" s="46"/>
      <c r="E69" s="46"/>
      <c r="F69" s="46"/>
      <c r="G69" s="46"/>
      <c r="H69" s="46"/>
      <c r="I69" s="46"/>
      <c r="J69" s="46"/>
      <c r="K69" s="46"/>
      <c r="L69" s="46"/>
      <c r="M69" s="46"/>
    </row>
    <row r="70" spans="1:14" x14ac:dyDescent="0.25">
      <c r="A70" s="45"/>
      <c r="B70" s="46"/>
      <c r="C70" s="46"/>
      <c r="D70" s="46"/>
      <c r="E70" s="45"/>
      <c r="F70" s="45"/>
      <c r="G70" s="45"/>
      <c r="H70" s="45"/>
      <c r="I70" s="45"/>
      <c r="J70" s="45"/>
      <c r="K70" s="45"/>
      <c r="L70" s="45"/>
      <c r="M70" s="45"/>
    </row>
    <row r="71" spans="1:14" ht="21" customHeight="1" x14ac:dyDescent="0.25">
      <c r="A71" s="45"/>
      <c r="B71" s="2322" t="s">
        <v>85</v>
      </c>
      <c r="C71" s="2323"/>
      <c r="D71" s="2323"/>
      <c r="E71" s="2323"/>
      <c r="F71" s="2323"/>
      <c r="G71" s="659" t="s">
        <v>907</v>
      </c>
      <c r="H71" s="2324" t="s">
        <v>908</v>
      </c>
      <c r="I71" s="2325"/>
      <c r="J71" s="45"/>
      <c r="K71" s="45"/>
      <c r="L71" s="45"/>
      <c r="M71" s="45"/>
    </row>
    <row r="72" spans="1:14" ht="30" customHeight="1" x14ac:dyDescent="0.25">
      <c r="A72" s="45"/>
      <c r="B72" s="1961" t="str">
        <f>Submittals!G126</f>
        <v>• Plans or maps indicating location of public transport stops within a 500 m or a 700 m walking distance of the site</v>
      </c>
      <c r="C72" s="1962"/>
      <c r="D72" s="1962"/>
      <c r="E72" s="1962"/>
      <c r="F72" s="2291"/>
      <c r="G72" s="658" t="s">
        <v>53</v>
      </c>
      <c r="H72" s="1689"/>
      <c r="I72" s="1690"/>
      <c r="J72" s="45"/>
      <c r="K72" s="45"/>
      <c r="L72" s="45"/>
      <c r="M72" s="45"/>
      <c r="N72" s="35" t="str">
        <f>IF(OR(B72="/",B72="No evidence required at this submission stage"),"Yes",IF(G72="Submitted","Yes","No"))</f>
        <v>No</v>
      </c>
    </row>
    <row r="73" spans="1:14" ht="27" hidden="1" customHeight="1" x14ac:dyDescent="0.25">
      <c r="A73" s="45"/>
      <c r="B73" s="1961" t="str">
        <f>Submittals!G127</f>
        <v>• Documentation indicating the number of public transport routes by which the stops are serviced</v>
      </c>
      <c r="C73" s="1962"/>
      <c r="D73" s="1962"/>
      <c r="E73" s="1962"/>
      <c r="F73" s="2291"/>
      <c r="G73" s="658" t="s">
        <v>53</v>
      </c>
      <c r="H73" s="1689"/>
      <c r="I73" s="1690"/>
      <c r="J73" s="45"/>
      <c r="K73" s="45"/>
      <c r="L73" s="45"/>
      <c r="M73" s="45"/>
      <c r="N73" s="35" t="str">
        <f>IF(OR(B73="/",B73="No evidence required at this submission stage"),"Yes",IF(G73="Submitted","Yes","No"))</f>
        <v>No</v>
      </c>
    </row>
    <row r="74" spans="1:14" ht="19.5" customHeight="1" x14ac:dyDescent="0.25">
      <c r="A74" s="45"/>
      <c r="B74" s="46"/>
      <c r="C74" s="46"/>
      <c r="D74" s="46"/>
      <c r="E74" s="46"/>
      <c r="F74" s="45"/>
      <c r="G74" s="45"/>
      <c r="H74" s="45"/>
      <c r="I74" s="45"/>
      <c r="J74" s="45"/>
      <c r="K74" s="45"/>
      <c r="L74" s="45"/>
      <c r="M74" s="45"/>
    </row>
    <row r="75" spans="1:14" ht="16.5" customHeight="1" x14ac:dyDescent="0.25">
      <c r="A75" s="2317" t="s">
        <v>5</v>
      </c>
      <c r="B75" s="2317"/>
      <c r="C75" s="2317"/>
      <c r="D75" s="46"/>
      <c r="E75" s="46"/>
      <c r="F75" s="45"/>
      <c r="G75" s="45"/>
      <c r="H75" s="45"/>
      <c r="I75" s="45"/>
      <c r="J75" s="45"/>
      <c r="K75" s="45"/>
      <c r="L75" s="45"/>
      <c r="M75" s="45"/>
    </row>
    <row r="76" spans="1:14" ht="16.5" customHeight="1" x14ac:dyDescent="0.25">
      <c r="A76" s="45"/>
      <c r="B76" s="46"/>
      <c r="C76" s="46"/>
      <c r="D76" s="46"/>
      <c r="E76" s="46"/>
      <c r="F76" s="45"/>
      <c r="G76" s="45"/>
      <c r="H76" s="45"/>
      <c r="I76" s="45"/>
      <c r="J76" s="45"/>
      <c r="K76" s="45"/>
      <c r="L76" s="45"/>
      <c r="M76" s="45"/>
    </row>
    <row r="77" spans="1:14" ht="18" customHeight="1" x14ac:dyDescent="0.25">
      <c r="A77" s="45"/>
      <c r="B77" s="133" t="s">
        <v>16</v>
      </c>
      <c r="C77" s="8">
        <f>IF(AND(E67="Yes",E59="Yes"),1,0)</f>
        <v>0</v>
      </c>
      <c r="D77" s="46"/>
      <c r="E77" s="46"/>
      <c r="F77" s="45"/>
      <c r="G77" s="45"/>
      <c r="H77" s="45"/>
      <c r="I77" s="45"/>
      <c r="J77" s="45"/>
      <c r="K77" s="45"/>
      <c r="L77" s="45"/>
      <c r="M77" s="45"/>
    </row>
    <row r="78" spans="1:14" ht="18" customHeight="1" x14ac:dyDescent="0.25">
      <c r="A78" s="45"/>
      <c r="B78" s="136" t="s">
        <v>133</v>
      </c>
      <c r="C78" s="8" t="str">
        <f>IF(AND(COUNTIF(N72:N72,"Yes")=1,C77&gt;0),"Yes","No")</f>
        <v>No</v>
      </c>
      <c r="D78" s="46"/>
      <c r="E78" s="46"/>
      <c r="F78" s="45"/>
      <c r="G78" s="45"/>
      <c r="H78" s="45"/>
      <c r="I78" s="45"/>
      <c r="J78" s="45"/>
      <c r="K78" s="45"/>
      <c r="L78" s="45"/>
      <c r="M78" s="45"/>
    </row>
    <row r="79" spans="1:14" ht="21" customHeight="1" x14ac:dyDescent="0.25">
      <c r="A79" s="45"/>
      <c r="B79" s="46"/>
      <c r="C79" s="46"/>
      <c r="D79" s="46"/>
      <c r="E79" s="46"/>
      <c r="F79" s="45"/>
      <c r="G79" s="45"/>
      <c r="H79" s="45"/>
      <c r="I79" s="45"/>
      <c r="J79" s="45"/>
      <c r="K79" s="45"/>
      <c r="L79" s="45"/>
      <c r="M79" s="45"/>
    </row>
    <row r="80" spans="1:14" ht="18" customHeight="1" x14ac:dyDescent="0.25">
      <c r="A80" s="2311" t="s">
        <v>1738</v>
      </c>
      <c r="B80" s="2311"/>
      <c r="C80" s="2311"/>
      <c r="D80" s="2311"/>
      <c r="E80" s="2311"/>
      <c r="F80" s="2311"/>
      <c r="G80" s="2311"/>
      <c r="H80" s="2311"/>
      <c r="I80" s="2311"/>
      <c r="J80" s="2311"/>
      <c r="K80" s="2311"/>
      <c r="L80" s="2311"/>
      <c r="M80" s="2311"/>
    </row>
    <row r="81" spans="1:14" x14ac:dyDescent="0.25">
      <c r="A81" s="45"/>
      <c r="B81" s="45"/>
      <c r="C81" s="45"/>
      <c r="D81" s="45"/>
      <c r="E81" s="45"/>
      <c r="F81" s="45"/>
      <c r="G81" s="45"/>
      <c r="H81" s="45"/>
      <c r="I81" s="45"/>
      <c r="J81" s="45"/>
      <c r="K81" s="45"/>
      <c r="L81" s="45"/>
      <c r="M81" s="45"/>
    </row>
    <row r="82" spans="1:14" ht="16.5" customHeight="1" x14ac:dyDescent="0.25">
      <c r="A82" s="2317" t="s">
        <v>102</v>
      </c>
      <c r="B82" s="2317"/>
      <c r="C82" s="2317"/>
      <c r="D82" s="46"/>
      <c r="E82" s="46"/>
      <c r="F82" s="45"/>
      <c r="G82" s="45"/>
      <c r="H82" s="45"/>
      <c r="I82" s="45"/>
      <c r="J82" s="45"/>
      <c r="K82" s="45"/>
      <c r="L82" s="45"/>
      <c r="M82" s="45"/>
    </row>
    <row r="83" spans="1:14" x14ac:dyDescent="0.25">
      <c r="A83" s="45"/>
      <c r="B83" s="46"/>
      <c r="C83" s="46"/>
      <c r="D83" s="46"/>
      <c r="E83" s="45"/>
      <c r="F83" s="45"/>
      <c r="G83" s="45"/>
      <c r="H83" s="45"/>
      <c r="I83" s="45"/>
      <c r="J83" s="45"/>
      <c r="K83" s="45"/>
      <c r="L83" s="45"/>
      <c r="M83" s="45"/>
      <c r="N83" s="45"/>
    </row>
    <row r="84" spans="1:14" x14ac:dyDescent="0.25">
      <c r="A84" s="45"/>
      <c r="B84" s="678" t="s">
        <v>1736</v>
      </c>
      <c r="C84" s="46"/>
      <c r="D84" s="46"/>
      <c r="E84" s="45"/>
      <c r="F84" s="45"/>
      <c r="G84" s="45"/>
      <c r="H84" s="45"/>
      <c r="I84" s="45"/>
      <c r="J84" s="45"/>
      <c r="K84" s="45"/>
      <c r="L84" s="45"/>
      <c r="M84" s="45"/>
      <c r="N84" s="45"/>
    </row>
    <row r="85" spans="1:14" ht="17.25" customHeight="1" x14ac:dyDescent="0.25">
      <c r="A85" s="45"/>
      <c r="B85" s="46"/>
      <c r="C85" s="46"/>
      <c r="D85" s="46"/>
      <c r="E85" s="45"/>
      <c r="F85" s="45"/>
      <c r="G85" s="45"/>
      <c r="H85" s="45"/>
      <c r="I85" s="45"/>
      <c r="J85" s="45"/>
      <c r="K85" s="45"/>
      <c r="L85" s="45"/>
      <c r="M85" s="45"/>
      <c r="N85" s="45"/>
    </row>
    <row r="86" spans="1:14" ht="21" customHeight="1" x14ac:dyDescent="0.25">
      <c r="A86" s="45"/>
      <c r="B86" s="2348" t="s">
        <v>1737</v>
      </c>
      <c r="C86" s="2349"/>
      <c r="D86" s="2349"/>
      <c r="E86" s="2349"/>
      <c r="F86" s="2349"/>
      <c r="G86" s="2349"/>
      <c r="H86" s="2349"/>
      <c r="I86" s="2349"/>
      <c r="J86" s="2350"/>
      <c r="K86" s="45"/>
      <c r="L86" s="45"/>
      <c r="M86" s="45"/>
      <c r="N86" s="45"/>
    </row>
    <row r="87" spans="1:14" ht="21" customHeight="1" x14ac:dyDescent="0.25">
      <c r="A87" s="45"/>
      <c r="B87" s="2147"/>
      <c r="C87" s="2148"/>
      <c r="D87" s="2148"/>
      <c r="E87" s="2148"/>
      <c r="F87" s="2148"/>
      <c r="G87" s="2148"/>
      <c r="H87" s="2148"/>
      <c r="I87" s="2148"/>
      <c r="J87" s="2149"/>
      <c r="K87" s="45"/>
      <c r="L87" s="45"/>
      <c r="M87" s="45"/>
      <c r="N87" s="45"/>
    </row>
    <row r="88" spans="1:14" ht="17.25" customHeight="1" x14ac:dyDescent="0.25">
      <c r="A88" s="45"/>
      <c r="B88" s="46"/>
      <c r="C88" s="46"/>
      <c r="D88" s="46"/>
      <c r="E88" s="45"/>
      <c r="F88" s="45"/>
      <c r="G88" s="45"/>
      <c r="H88" s="45"/>
      <c r="I88" s="45"/>
      <c r="J88" s="45"/>
      <c r="K88" s="45"/>
      <c r="L88" s="45"/>
      <c r="M88" s="45"/>
      <c r="N88" s="45"/>
    </row>
    <row r="89" spans="1:14" x14ac:dyDescent="0.25">
      <c r="A89" s="45"/>
      <c r="B89" s="535" t="s">
        <v>1727</v>
      </c>
      <c r="C89" s="46"/>
      <c r="D89" s="46"/>
      <c r="E89" s="45"/>
      <c r="F89" s="45"/>
      <c r="G89" s="45"/>
      <c r="H89" s="45"/>
      <c r="I89" s="45"/>
      <c r="J89" s="45"/>
      <c r="K89" s="45"/>
      <c r="L89" s="45"/>
      <c r="M89" s="45"/>
      <c r="N89" s="45"/>
    </row>
    <row r="90" spans="1:14" ht="12" customHeight="1" x14ac:dyDescent="0.25">
      <c r="A90" s="45"/>
      <c r="B90" s="46"/>
      <c r="C90" s="46"/>
      <c r="D90" s="46"/>
      <c r="E90" s="45"/>
      <c r="F90" s="45"/>
      <c r="G90" s="45"/>
      <c r="H90" s="45"/>
      <c r="I90" s="45"/>
      <c r="J90" s="45"/>
      <c r="K90" s="45"/>
      <c r="L90" s="45"/>
      <c r="M90" s="45"/>
      <c r="N90" s="45"/>
    </row>
    <row r="91" spans="1:14" ht="18" customHeight="1" x14ac:dyDescent="0.25">
      <c r="A91" s="45"/>
      <c r="B91" s="2351" t="str">
        <f>IF('Project information'!$C$7="Certification stage","Description of the incentives implemented to encourage occupants to use a green mode of transport:","Description of the incentives to be implemented to encourage occupants to use a green mode of transport:")</f>
        <v>Description of the incentives implemented to encourage occupants to use a green mode of transport:</v>
      </c>
      <c r="C91" s="2352"/>
      <c r="D91" s="2352"/>
      <c r="E91" s="2352"/>
      <c r="F91" s="2352"/>
      <c r="G91" s="2352"/>
      <c r="H91" s="2352"/>
      <c r="I91" s="2352"/>
      <c r="J91" s="2353"/>
      <c r="K91" s="45"/>
      <c r="L91" s="45"/>
      <c r="M91" s="45"/>
      <c r="N91" s="45"/>
    </row>
    <row r="92" spans="1:14" ht="42" customHeight="1" x14ac:dyDescent="0.25">
      <c r="A92" s="45"/>
      <c r="B92" s="2354"/>
      <c r="C92" s="2355"/>
      <c r="D92" s="2355"/>
      <c r="E92" s="2355"/>
      <c r="F92" s="2355"/>
      <c r="G92" s="2355"/>
      <c r="H92" s="2355"/>
      <c r="I92" s="2355"/>
      <c r="J92" s="2356"/>
      <c r="K92" s="45"/>
      <c r="L92" s="45"/>
      <c r="M92" s="45"/>
      <c r="N92" s="45"/>
    </row>
    <row r="93" spans="1:14" ht="42" customHeight="1" x14ac:dyDescent="0.25">
      <c r="A93" s="45"/>
      <c r="B93" s="2345"/>
      <c r="C93" s="2346"/>
      <c r="D93" s="2346"/>
      <c r="E93" s="2346"/>
      <c r="F93" s="2346"/>
      <c r="G93" s="2346"/>
      <c r="H93" s="2346"/>
      <c r="I93" s="2346"/>
      <c r="J93" s="2347"/>
      <c r="K93" s="45"/>
      <c r="L93" s="45"/>
      <c r="M93" s="45"/>
      <c r="N93" s="45"/>
    </row>
    <row r="94" spans="1:14" ht="21" customHeight="1" x14ac:dyDescent="0.25">
      <c r="A94" s="45"/>
      <c r="B94" s="46"/>
      <c r="C94" s="46"/>
      <c r="D94" s="46"/>
      <c r="E94" s="45"/>
      <c r="F94" s="45"/>
      <c r="G94" s="45"/>
      <c r="H94" s="45"/>
      <c r="I94" s="45"/>
      <c r="J94" s="45"/>
      <c r="K94" s="45"/>
      <c r="L94" s="45"/>
      <c r="M94" s="45"/>
      <c r="N94" s="45"/>
    </row>
    <row r="95" spans="1:14" ht="18" customHeight="1" x14ac:dyDescent="0.25">
      <c r="A95" s="45"/>
      <c r="B95" s="2328" t="s">
        <v>1728</v>
      </c>
      <c r="C95" s="2328"/>
      <c r="D95" s="2328"/>
      <c r="E95" s="144" t="str">
        <f>IF(AND(B92&lt;&gt;"",B93&lt;&gt;""),"Yes","No")</f>
        <v>No</v>
      </c>
      <c r="F95" s="45"/>
      <c r="G95" s="45"/>
      <c r="H95" s="45"/>
      <c r="I95" s="45"/>
      <c r="J95" s="45"/>
      <c r="K95" s="45"/>
      <c r="L95" s="45"/>
      <c r="M95" s="45"/>
      <c r="N95" s="45"/>
    </row>
    <row r="96" spans="1:14" ht="19.5" customHeight="1" x14ac:dyDescent="0.25">
      <c r="A96" s="45"/>
      <c r="B96" s="46"/>
      <c r="C96" s="46"/>
      <c r="D96" s="46"/>
      <c r="E96" s="45"/>
      <c r="F96" s="45"/>
      <c r="G96" s="45"/>
      <c r="H96" s="45"/>
      <c r="I96" s="45"/>
      <c r="J96" s="45"/>
      <c r="K96" s="45"/>
      <c r="L96" s="45"/>
      <c r="M96" s="45"/>
      <c r="N96" s="45"/>
    </row>
    <row r="97" spans="1:14" ht="16.5" customHeight="1" x14ac:dyDescent="0.25">
      <c r="A97" s="2317" t="s">
        <v>84</v>
      </c>
      <c r="B97" s="2317"/>
      <c r="C97" s="2317"/>
      <c r="D97" s="46"/>
      <c r="E97" s="46"/>
      <c r="F97" s="46"/>
      <c r="G97" s="46"/>
      <c r="H97" s="46"/>
      <c r="I97" s="46"/>
      <c r="J97" s="46"/>
      <c r="K97" s="46"/>
      <c r="L97" s="46"/>
      <c r="M97" s="46"/>
      <c r="N97" s="46"/>
    </row>
    <row r="98" spans="1:14" x14ac:dyDescent="0.25">
      <c r="A98" s="45"/>
      <c r="B98" s="46"/>
      <c r="C98" s="46"/>
      <c r="D98" s="46"/>
      <c r="E98" s="45"/>
      <c r="F98" s="45"/>
      <c r="G98" s="45"/>
      <c r="H98" s="45"/>
      <c r="I98" s="45"/>
      <c r="J98" s="45"/>
      <c r="K98" s="45"/>
      <c r="L98" s="45"/>
      <c r="M98" s="45"/>
      <c r="N98" s="45"/>
    </row>
    <row r="99" spans="1:14" ht="18" customHeight="1" x14ac:dyDescent="0.25">
      <c r="A99" s="45"/>
      <c r="B99" s="2322" t="s">
        <v>85</v>
      </c>
      <c r="C99" s="2323"/>
      <c r="D99" s="2323"/>
      <c r="E99" s="2323"/>
      <c r="F99" s="2323"/>
      <c r="G99" s="659" t="s">
        <v>907</v>
      </c>
      <c r="H99" s="2324" t="s">
        <v>908</v>
      </c>
      <c r="I99" s="2325"/>
      <c r="J99" s="45"/>
      <c r="K99" s="45"/>
      <c r="L99" s="45"/>
      <c r="M99" s="45"/>
      <c r="N99" s="45"/>
    </row>
    <row r="100" spans="1:14" ht="30" customHeight="1" x14ac:dyDescent="0.25">
      <c r="A100" s="45"/>
      <c r="B100" s="1961" t="str">
        <f>Submittals!G128</f>
        <v>• Evidence showing the implementation of the green transportation program, such as photographs, building policies, receipts, etc.</v>
      </c>
      <c r="C100" s="1962"/>
      <c r="D100" s="1962"/>
      <c r="E100" s="1962"/>
      <c r="F100" s="2291"/>
      <c r="G100" s="658" t="s">
        <v>53</v>
      </c>
      <c r="H100" s="1689"/>
      <c r="I100" s="1690"/>
      <c r="J100" s="45"/>
      <c r="K100" s="45"/>
      <c r="L100" s="45"/>
      <c r="M100" s="45"/>
      <c r="N100" s="35" t="str">
        <f>IF(OR(B100="/",B100="No evidence required at this submission stage"),"Yes",IF(G100="Submitted","Yes","No"))</f>
        <v>No</v>
      </c>
    </row>
    <row r="101" spans="1:14" x14ac:dyDescent="0.25">
      <c r="A101" s="45"/>
      <c r="B101" s="46"/>
      <c r="C101" s="46"/>
      <c r="D101" s="46"/>
      <c r="E101" s="46"/>
      <c r="F101" s="45"/>
      <c r="G101" s="45"/>
      <c r="H101" s="45"/>
      <c r="I101" s="45"/>
      <c r="J101" s="45"/>
      <c r="K101" s="45"/>
      <c r="L101" s="45"/>
      <c r="M101" s="45"/>
    </row>
    <row r="102" spans="1:14" ht="16.5" customHeight="1" x14ac:dyDescent="0.25">
      <c r="A102" s="2317" t="s">
        <v>5</v>
      </c>
      <c r="B102" s="2317"/>
      <c r="C102" s="2317"/>
      <c r="D102" s="46"/>
      <c r="E102" s="46"/>
      <c r="F102" s="45"/>
      <c r="G102" s="45"/>
      <c r="H102" s="45"/>
      <c r="I102" s="45"/>
      <c r="J102" s="45"/>
      <c r="K102" s="45"/>
      <c r="L102" s="45"/>
      <c r="M102" s="45"/>
    </row>
    <row r="103" spans="1:14" x14ac:dyDescent="0.25">
      <c r="A103" s="45"/>
      <c r="B103" s="46"/>
      <c r="C103" s="46"/>
      <c r="D103" s="46"/>
      <c r="E103" s="46"/>
      <c r="F103" s="45"/>
      <c r="G103" s="45"/>
      <c r="H103" s="45"/>
      <c r="I103" s="45"/>
      <c r="J103" s="45"/>
      <c r="K103" s="45"/>
      <c r="L103" s="45"/>
      <c r="M103" s="45"/>
    </row>
    <row r="104" spans="1:14" ht="18" customHeight="1" x14ac:dyDescent="0.25">
      <c r="A104" s="45"/>
      <c r="B104" s="133" t="s">
        <v>16</v>
      </c>
      <c r="C104" s="8">
        <f>IF(E95="Yes",1,0)</f>
        <v>0</v>
      </c>
      <c r="D104" s="46"/>
      <c r="E104" s="46"/>
      <c r="F104" s="45"/>
      <c r="G104" s="45"/>
      <c r="H104" s="45"/>
      <c r="I104" s="45"/>
      <c r="J104" s="45"/>
      <c r="K104" s="45"/>
      <c r="L104" s="45"/>
      <c r="M104" s="45"/>
    </row>
    <row r="105" spans="1:14" ht="18" customHeight="1" x14ac:dyDescent="0.25">
      <c r="A105" s="45"/>
      <c r="B105" s="136" t="s">
        <v>133</v>
      </c>
      <c r="C105" s="8" t="str">
        <f>IF(AND(COUNTIF(N100:N100,"Yes")=1,C104&gt;0),"Yes","No")</f>
        <v>No</v>
      </c>
      <c r="D105" s="45"/>
      <c r="E105" s="45"/>
      <c r="F105" s="45"/>
      <c r="G105" s="45"/>
      <c r="H105" s="45"/>
      <c r="I105" s="45"/>
      <c r="J105" s="45"/>
      <c r="K105" s="45"/>
      <c r="L105" s="45"/>
      <c r="M105" s="45"/>
    </row>
    <row r="106" spans="1:14" ht="16.5" customHeight="1" x14ac:dyDescent="0.25">
      <c r="A106" s="45"/>
      <c r="B106" s="46"/>
      <c r="C106" s="46"/>
      <c r="D106" s="46"/>
      <c r="E106" s="46"/>
      <c r="F106" s="45"/>
      <c r="G106" s="45"/>
      <c r="H106" s="45"/>
      <c r="I106" s="45"/>
      <c r="J106" s="45"/>
      <c r="K106" s="45"/>
      <c r="L106" s="45"/>
      <c r="M106" s="45"/>
    </row>
    <row r="107" spans="1:14" hidden="1" x14ac:dyDescent="0.25"/>
    <row r="108" spans="1:14" hidden="1" x14ac:dyDescent="0.25"/>
    <row r="109" spans="1:14" hidden="1" x14ac:dyDescent="0.25"/>
    <row r="110" spans="1:14" hidden="1" x14ac:dyDescent="0.25"/>
    <row r="111" spans="1:14" hidden="1" x14ac:dyDescent="0.25"/>
    <row r="112" spans="1:14"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sheetData>
  <sheetProtection algorithmName="SHA-512" hashValue="YkbOwFQlGvdlV+cZ5ThgMSyrHpHuwIzUd0yY0oj2BdqEU0wNuZpTJKvau8ClYadiKcVj8PX2nY7aTHZv+28/IQ==" saltValue="6P8/YhG/x5QyAH1HfX6mug==" spinCount="100000" sheet="1" objects="1" scenarios="1" formatRows="0"/>
  <mergeCells count="51">
    <mergeCell ref="A37:C37"/>
    <mergeCell ref="A31:C31"/>
    <mergeCell ref="H34:I34"/>
    <mergeCell ref="B25:F25"/>
    <mergeCell ref="B12:E12"/>
    <mergeCell ref="B26:F26"/>
    <mergeCell ref="B35:F35"/>
    <mergeCell ref="B92:J92"/>
    <mergeCell ref="H71:I71"/>
    <mergeCell ref="H72:I72"/>
    <mergeCell ref="H73:I73"/>
    <mergeCell ref="B73:F73"/>
    <mergeCell ref="B67:D67"/>
    <mergeCell ref="B71:F71"/>
    <mergeCell ref="A69:C69"/>
    <mergeCell ref="A75:C75"/>
    <mergeCell ref="B72:F72"/>
    <mergeCell ref="B59:D59"/>
    <mergeCell ref="A44:C44"/>
    <mergeCell ref="A42:M42"/>
    <mergeCell ref="I2:K4"/>
    <mergeCell ref="A1:M1"/>
    <mergeCell ref="H35:I35"/>
    <mergeCell ref="B29:C29"/>
    <mergeCell ref="B27:F27"/>
    <mergeCell ref="H33:I33"/>
    <mergeCell ref="A19:C19"/>
    <mergeCell ref="A9:M9"/>
    <mergeCell ref="A5:M7"/>
    <mergeCell ref="B14:E14"/>
    <mergeCell ref="B15:E15"/>
    <mergeCell ref="B13:E13"/>
    <mergeCell ref="B11:E11"/>
    <mergeCell ref="B33:F33"/>
    <mergeCell ref="B34:F34"/>
    <mergeCell ref="A17:M17"/>
    <mergeCell ref="B63:D63"/>
    <mergeCell ref="B65:D65"/>
    <mergeCell ref="B64:D64"/>
    <mergeCell ref="A102:C102"/>
    <mergeCell ref="A80:M80"/>
    <mergeCell ref="B99:F99"/>
    <mergeCell ref="B100:F100"/>
    <mergeCell ref="H99:I99"/>
    <mergeCell ref="H100:I100"/>
    <mergeCell ref="A97:C97"/>
    <mergeCell ref="B95:D95"/>
    <mergeCell ref="A82:C82"/>
    <mergeCell ref="B93:J93"/>
    <mergeCell ref="B86:J87"/>
    <mergeCell ref="B91:J91"/>
  </mergeCells>
  <conditionalFormatting sqref="G100:I100">
    <cfRule type="expression" dxfId="108" priority="23">
      <formula>$B100="/"</formula>
    </cfRule>
    <cfRule type="expression" dxfId="107" priority="24">
      <formula>$B100="No evidence required at this submission stage"</formula>
    </cfRule>
  </conditionalFormatting>
  <conditionalFormatting sqref="G72:I73">
    <cfRule type="expression" dxfId="106" priority="17">
      <formula>$B72="/"</formula>
    </cfRule>
    <cfRule type="expression" dxfId="105" priority="18">
      <formula>$B72="No evidence required at this submission stage"</formula>
    </cfRule>
  </conditionalFormatting>
  <conditionalFormatting sqref="G34:I35">
    <cfRule type="expression" dxfId="104" priority="9">
      <formula>$B34="/"</formula>
    </cfRule>
    <cfRule type="expression" dxfId="103" priority="10">
      <formula>$B34="No evidence required at this submission stage"</formula>
    </cfRule>
  </conditionalFormatting>
  <conditionalFormatting sqref="B92">
    <cfRule type="expression" dxfId="102" priority="7">
      <formula>$B92="/"</formula>
    </cfRule>
    <cfRule type="expression" dxfId="101" priority="8">
      <formula>$B92="No evidence required at this submission stage"</formula>
    </cfRule>
  </conditionalFormatting>
  <conditionalFormatting sqref="B93">
    <cfRule type="expression" dxfId="100" priority="1">
      <formula>$B93="/"</formula>
    </cfRule>
    <cfRule type="expression" dxfId="99" priority="2">
      <formula>$B93="No evidence required at this submission stage"</formula>
    </cfRule>
  </conditionalFormatting>
  <dataValidations disablePrompts="1" count="3">
    <dataValidation type="list" allowBlank="1" showInputMessage="1" showErrorMessage="1" sqref="B55:B57" xr:uid="{00000000-0002-0000-2B00-000000000000}">
      <formula1>"Select,metro station, bus stop"</formula1>
    </dataValidation>
    <dataValidation type="list" allowBlank="1" showInputMessage="1" showErrorMessage="1" sqref="G25:G27 E63:E65" xr:uid="{00000000-0002-0000-2B00-000001000000}">
      <formula1>"Select,Yes,No"</formula1>
    </dataValidation>
    <dataValidation type="list" allowBlank="1" showInputMessage="1" showErrorMessage="1" sqref="G100 G72:G73 G34:G35" xr:uid="{00000000-0002-0000-2B00-000002000000}">
      <formula1>"Select,Submitted,Not submitted"</formula1>
    </dataValidation>
  </dataValidations>
  <hyperlinks>
    <hyperlink ref="M3" location="'SE-BPC'!B3" tooltip="SE-BPC" display="SE-BPC" xr:uid="{A82AA836-0A99-46A4-893C-88650661802A}"/>
    <hyperlink ref="L4" location="'SE-4 Refrigerants'!B3" tooltip="SE-4" display="SE-4" xr:uid="{D73FB22A-E0CF-4ECA-AC32-565A04033D1C}"/>
    <hyperlink ref="L2" location="'SE-1 Base building '!B3" tooltip="SE-1" display="SE-1" xr:uid="{01863440-1E30-44A4-B1E7-24ADAE735995}"/>
    <hyperlink ref="L3" location="'SE-2 Tenancy lease'!B3" tooltip="SE-2" display="SE-2" xr:uid="{622A2869-525F-4BCF-AA07-82EC57D165EF}"/>
  </hyperlinks>
  <pageMargins left="0.7" right="0.7" top="0.75" bottom="0.75" header="0.3" footer="0.3"/>
  <pageSetup orientation="portrait"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76923C"/>
  </sheetPr>
  <dimension ref="A1:P172"/>
  <sheetViews>
    <sheetView showRowColHeaders="0" workbookViewId="0">
      <pane ySplit="8" topLeftCell="A9" activePane="bottomLeft" state="frozen"/>
      <selection activeCell="G91" sqref="G91"/>
      <selection pane="bottomLeft" activeCell="A8" sqref="A8"/>
    </sheetView>
  </sheetViews>
  <sheetFormatPr defaultColWidth="0" defaultRowHeight="15" customHeight="1" zeroHeight="1" x14ac:dyDescent="0.25"/>
  <cols>
    <col min="1" max="1" width="3.7109375" style="35" customWidth="1"/>
    <col min="2" max="3" width="18.42578125" style="35" customWidth="1"/>
    <col min="4" max="4" width="17" style="35" customWidth="1"/>
    <col min="5" max="6" width="15.7109375" style="35" customWidth="1"/>
    <col min="7" max="7" width="16.7109375" style="35" customWidth="1"/>
    <col min="8" max="8" width="15.7109375" style="35" customWidth="1"/>
    <col min="9" max="9" width="17.140625" style="35" customWidth="1"/>
    <col min="10" max="10" width="16.7109375" style="35" customWidth="1"/>
    <col min="11" max="11" width="15.7109375" style="35" customWidth="1"/>
    <col min="12" max="12" width="4.7109375" style="35" customWidth="1"/>
    <col min="13" max="13" width="8.140625" style="35" customWidth="1"/>
    <col min="14" max="14" width="8.7109375" style="35" customWidth="1"/>
    <col min="15" max="16384" width="9.140625" style="35" hidden="1"/>
  </cols>
  <sheetData>
    <row r="1" spans="1:15" ht="24" customHeight="1" x14ac:dyDescent="0.25">
      <c r="A1" s="2310" t="s">
        <v>2293</v>
      </c>
      <c r="B1" s="2310"/>
      <c r="C1" s="2310"/>
      <c r="D1" s="2310"/>
      <c r="E1" s="2310"/>
      <c r="F1" s="2310"/>
      <c r="G1" s="2310"/>
      <c r="H1" s="2310"/>
      <c r="I1" s="2310"/>
      <c r="J1" s="2310"/>
      <c r="K1" s="2310"/>
      <c r="L1" s="2310"/>
      <c r="M1" s="2310"/>
      <c r="N1" s="2310"/>
    </row>
    <row r="2" spans="1:15" ht="15" customHeight="1" x14ac:dyDescent="0.25">
      <c r="A2" s="45"/>
      <c r="B2" s="46"/>
      <c r="C2" s="46"/>
      <c r="D2" s="46"/>
      <c r="E2" s="46"/>
      <c r="F2" s="45"/>
      <c r="G2" s="161"/>
      <c r="H2" s="161"/>
      <c r="I2" s="1753" t="s">
        <v>2294</v>
      </c>
      <c r="J2" s="1753"/>
      <c r="K2" s="1753"/>
      <c r="L2" s="1753"/>
      <c r="M2" s="130" t="s">
        <v>2295</v>
      </c>
      <c r="N2" s="130"/>
    </row>
    <row r="3" spans="1:15" ht="15" customHeight="1" x14ac:dyDescent="0.25">
      <c r="A3" s="45"/>
      <c r="B3" s="46"/>
      <c r="C3" s="46"/>
      <c r="D3" s="46"/>
      <c r="E3" s="46"/>
      <c r="F3" s="45"/>
      <c r="G3" s="161"/>
      <c r="H3" s="161"/>
      <c r="I3" s="1753"/>
      <c r="J3" s="1753"/>
      <c r="K3" s="1753"/>
      <c r="L3" s="1753"/>
      <c r="M3" s="130" t="s">
        <v>2312</v>
      </c>
      <c r="N3" s="130" t="s">
        <v>2321</v>
      </c>
    </row>
    <row r="4" spans="1:15" ht="15" customHeight="1" x14ac:dyDescent="0.25">
      <c r="A4" s="45"/>
      <c r="B4" s="46"/>
      <c r="C4" s="46"/>
      <c r="D4" s="46"/>
      <c r="E4" s="46"/>
      <c r="F4" s="45"/>
      <c r="G4" s="162"/>
      <c r="H4" s="162"/>
      <c r="I4" s="1754"/>
      <c r="J4" s="1754"/>
      <c r="K4" s="1754"/>
      <c r="L4" s="1754"/>
      <c r="M4" s="130" t="s">
        <v>2313</v>
      </c>
      <c r="N4" s="130"/>
    </row>
    <row r="5" spans="1:15" ht="18" customHeight="1" x14ac:dyDescent="0.25">
      <c r="A5" s="1656" t="s">
        <v>2644</v>
      </c>
      <c r="B5" s="1657"/>
      <c r="C5" s="1657"/>
      <c r="D5" s="1657"/>
      <c r="E5" s="1657"/>
      <c r="F5" s="1657"/>
      <c r="G5" s="1657"/>
      <c r="H5" s="1657"/>
      <c r="I5" s="1657"/>
      <c r="J5" s="1657"/>
      <c r="K5" s="1657"/>
      <c r="L5" s="1657"/>
      <c r="M5" s="1657"/>
      <c r="N5" s="1658"/>
    </row>
    <row r="6" spans="1:15" ht="18" customHeight="1" x14ac:dyDescent="0.25">
      <c r="A6" s="1659"/>
      <c r="B6" s="1660"/>
      <c r="C6" s="1660"/>
      <c r="D6" s="1660"/>
      <c r="E6" s="1660"/>
      <c r="F6" s="1660"/>
      <c r="G6" s="1660"/>
      <c r="H6" s="1660"/>
      <c r="I6" s="1660"/>
      <c r="J6" s="1660"/>
      <c r="K6" s="1660"/>
      <c r="L6" s="1660"/>
      <c r="M6" s="1660"/>
      <c r="N6" s="1661"/>
    </row>
    <row r="7" spans="1:15" ht="30.75" customHeight="1" x14ac:dyDescent="0.25">
      <c r="A7" s="1662"/>
      <c r="B7" s="1663"/>
      <c r="C7" s="1663"/>
      <c r="D7" s="1663"/>
      <c r="E7" s="1663"/>
      <c r="F7" s="1663"/>
      <c r="G7" s="1663"/>
      <c r="H7" s="1663"/>
      <c r="I7" s="1663"/>
      <c r="J7" s="1663"/>
      <c r="K7" s="1663"/>
      <c r="L7" s="1663"/>
      <c r="M7" s="1663"/>
      <c r="N7" s="1664"/>
    </row>
    <row r="8" spans="1:15" ht="12" customHeight="1" x14ac:dyDescent="0.25">
      <c r="A8" s="45"/>
      <c r="B8" s="46"/>
      <c r="C8" s="46"/>
      <c r="D8" s="46"/>
      <c r="E8" s="46"/>
      <c r="F8" s="45"/>
      <c r="G8" s="45"/>
      <c r="H8" s="45"/>
      <c r="I8" s="45"/>
      <c r="J8" s="45"/>
      <c r="K8" s="45"/>
      <c r="L8" s="45"/>
      <c r="M8" s="45"/>
      <c r="N8" s="45"/>
    </row>
    <row r="9" spans="1:15" ht="18" customHeight="1" x14ac:dyDescent="0.25">
      <c r="A9" s="2311" t="s">
        <v>82</v>
      </c>
      <c r="B9" s="2311"/>
      <c r="C9" s="2311"/>
      <c r="D9" s="2311"/>
      <c r="E9" s="2311"/>
      <c r="F9" s="2311"/>
      <c r="G9" s="2311"/>
      <c r="H9" s="2311"/>
      <c r="I9" s="2311"/>
      <c r="J9" s="2311"/>
      <c r="K9" s="2311"/>
      <c r="L9" s="2311"/>
      <c r="M9" s="2311"/>
      <c r="N9" s="2311"/>
    </row>
    <row r="10" spans="1:15" ht="14.25" customHeight="1" x14ac:dyDescent="0.25">
      <c r="A10" s="45"/>
      <c r="B10" s="46"/>
      <c r="C10" s="46"/>
      <c r="D10" s="46"/>
      <c r="E10" s="46"/>
      <c r="F10" s="46"/>
      <c r="G10" s="46"/>
      <c r="H10" s="46"/>
      <c r="I10" s="46"/>
      <c r="J10" s="46"/>
      <c r="K10" s="46"/>
      <c r="L10" s="45"/>
      <c r="M10" s="45"/>
      <c r="N10" s="45"/>
    </row>
    <row r="11" spans="1:15" ht="16.5" customHeight="1" x14ac:dyDescent="0.25">
      <c r="A11" s="45"/>
      <c r="B11" s="1744" t="s">
        <v>99</v>
      </c>
      <c r="C11" s="1745"/>
      <c r="D11" s="2397" t="s">
        <v>53</v>
      </c>
      <c r="E11" s="2397"/>
      <c r="F11" s="46"/>
      <c r="G11" s="46"/>
      <c r="H11" s="46"/>
      <c r="I11" s="46"/>
      <c r="J11" s="46"/>
      <c r="K11" s="46"/>
      <c r="L11" s="45"/>
      <c r="M11" s="45"/>
      <c r="N11" s="45"/>
    </row>
    <row r="12" spans="1:15" ht="14.25" customHeight="1" x14ac:dyDescent="0.25">
      <c r="A12" s="45"/>
      <c r="B12" s="46"/>
      <c r="C12" s="46"/>
      <c r="D12" s="46"/>
      <c r="E12" s="46"/>
      <c r="F12" s="46"/>
      <c r="G12" s="46"/>
      <c r="H12" s="46"/>
      <c r="I12" s="46"/>
      <c r="J12" s="46"/>
      <c r="K12" s="46"/>
      <c r="L12" s="45"/>
      <c r="M12" s="45"/>
      <c r="N12" s="45"/>
    </row>
    <row r="13" spans="1:15" ht="18" customHeight="1" x14ac:dyDescent="0.25">
      <c r="A13" s="45"/>
      <c r="B13" s="2398" t="s">
        <v>83</v>
      </c>
      <c r="C13" s="2399"/>
      <c r="D13" s="2399"/>
      <c r="E13" s="2399"/>
      <c r="F13" s="2399"/>
      <c r="G13" s="2399"/>
      <c r="H13" s="1254" t="s">
        <v>64</v>
      </c>
      <c r="I13" s="1254" t="s">
        <v>16</v>
      </c>
      <c r="J13" s="1255" t="s">
        <v>133</v>
      </c>
      <c r="K13" s="45"/>
      <c r="L13" s="45"/>
      <c r="M13" s="45"/>
      <c r="N13" s="45"/>
    </row>
    <row r="14" spans="1:15" ht="42.75" customHeight="1" x14ac:dyDescent="0.25">
      <c r="A14" s="279"/>
      <c r="B14" s="2371" t="s">
        <v>392</v>
      </c>
      <c r="C14" s="2371"/>
      <c r="D14" s="2371"/>
      <c r="E14" s="2371"/>
      <c r="F14" s="2371"/>
      <c r="G14" s="2371"/>
      <c r="H14" s="320">
        <v>1</v>
      </c>
      <c r="I14" s="260" t="str">
        <f>IF($D$11="Option A",C54,"/")</f>
        <v>/</v>
      </c>
      <c r="J14" s="260" t="str">
        <f>IF($D$11="Option A",C55,"/")</f>
        <v>/</v>
      </c>
      <c r="K14" s="45"/>
      <c r="L14" s="45"/>
      <c r="M14" s="45"/>
      <c r="N14" s="45"/>
    </row>
    <row r="15" spans="1:15" ht="34.5" customHeight="1" x14ac:dyDescent="0.25">
      <c r="A15" s="279"/>
      <c r="B15" s="2371" t="s">
        <v>394</v>
      </c>
      <c r="C15" s="2371"/>
      <c r="D15" s="2371"/>
      <c r="E15" s="2371"/>
      <c r="F15" s="2371"/>
      <c r="G15" s="2371"/>
      <c r="H15" s="319">
        <v>1</v>
      </c>
      <c r="I15" s="277" t="str">
        <f>IF($D$11="Option B",C110,"/")</f>
        <v>/</v>
      </c>
      <c r="J15" s="281" t="str">
        <f>IF($D$11="Option B",C111,"/")</f>
        <v>/</v>
      </c>
      <c r="K15" s="45"/>
      <c r="L15" s="45"/>
      <c r="M15" s="45"/>
      <c r="N15" s="45"/>
    </row>
    <row r="16" spans="1:15" ht="108" customHeight="1" x14ac:dyDescent="0.25">
      <c r="A16" s="279"/>
      <c r="B16" s="2371" t="s">
        <v>1636</v>
      </c>
      <c r="C16" s="2371"/>
      <c r="D16" s="2371"/>
      <c r="E16" s="2371"/>
      <c r="F16" s="2371"/>
      <c r="G16" s="2371"/>
      <c r="H16" s="319">
        <v>1</v>
      </c>
      <c r="I16" s="277" t="str">
        <f>IF($D$11="Option C",C159,"/")</f>
        <v>/</v>
      </c>
      <c r="J16" s="281" t="str">
        <f>IF($D$11="Option C",C160,"/")</f>
        <v>/</v>
      </c>
      <c r="K16" s="45"/>
      <c r="L16" s="45"/>
      <c r="M16" s="45"/>
      <c r="N16" s="45"/>
      <c r="O16" s="35">
        <f>IF(D11="Option A",I14,IF(D11="Option B",I15,IF(D11="Option C",I16,0)))</f>
        <v>0</v>
      </c>
    </row>
    <row r="17" spans="1:14" ht="16.5" customHeight="1" x14ac:dyDescent="0.25">
      <c r="A17" s="45"/>
      <c r="B17" s="46"/>
      <c r="C17" s="46"/>
      <c r="D17" s="46"/>
      <c r="E17" s="46"/>
      <c r="F17" s="46"/>
      <c r="G17" s="45"/>
      <c r="H17" s="45"/>
      <c r="I17" s="45"/>
      <c r="J17" s="45"/>
      <c r="K17" s="45"/>
      <c r="L17" s="45"/>
      <c r="M17" s="45"/>
      <c r="N17" s="45"/>
    </row>
    <row r="18" spans="1:14" ht="18" customHeight="1" x14ac:dyDescent="0.25">
      <c r="A18" s="2311" t="s">
        <v>839</v>
      </c>
      <c r="B18" s="2311"/>
      <c r="C18" s="2311"/>
      <c r="D18" s="2311"/>
      <c r="E18" s="2311"/>
      <c r="F18" s="2311"/>
      <c r="G18" s="2311"/>
      <c r="H18" s="2311"/>
      <c r="I18" s="2311"/>
      <c r="J18" s="2311"/>
      <c r="K18" s="2311"/>
      <c r="L18" s="2311"/>
      <c r="M18" s="2311"/>
      <c r="N18" s="2311"/>
    </row>
    <row r="19" spans="1:14" x14ac:dyDescent="0.25">
      <c r="A19" s="45"/>
      <c r="B19" s="45"/>
      <c r="C19" s="45"/>
      <c r="D19" s="45"/>
      <c r="E19" s="45"/>
      <c r="F19" s="45"/>
      <c r="G19" s="45"/>
      <c r="H19" s="45"/>
      <c r="I19" s="45"/>
      <c r="J19" s="45"/>
      <c r="K19" s="45"/>
      <c r="L19" s="45"/>
      <c r="M19" s="45"/>
      <c r="N19" s="45"/>
    </row>
    <row r="20" spans="1:14" s="1073" customFormat="1" ht="16.5" customHeight="1" x14ac:dyDescent="0.25">
      <c r="A20" s="1072"/>
      <c r="B20" s="2381" t="s">
        <v>2299</v>
      </c>
      <c r="C20" s="2382"/>
      <c r="D20" s="2382"/>
      <c r="E20" s="2382"/>
      <c r="F20" s="2382"/>
      <c r="G20" s="2382"/>
      <c r="H20" s="2382"/>
      <c r="I20" s="2382"/>
      <c r="J20" s="2382"/>
      <c r="K20" s="2382"/>
      <c r="L20" s="2382"/>
      <c r="M20" s="2383"/>
      <c r="N20" s="1072"/>
    </row>
    <row r="21" spans="1:14" s="1073" customFormat="1" ht="16.5" customHeight="1" x14ac:dyDescent="0.25">
      <c r="A21" s="1072"/>
      <c r="B21" s="2357" t="s">
        <v>2300</v>
      </c>
      <c r="C21" s="1803"/>
      <c r="D21" s="1803"/>
      <c r="E21" s="1803"/>
      <c r="F21" s="1803"/>
      <c r="G21" s="1803"/>
      <c r="H21" s="1803"/>
      <c r="I21" s="1803"/>
      <c r="J21" s="1803"/>
      <c r="K21" s="1803"/>
      <c r="L21" s="1803"/>
      <c r="M21" s="2358"/>
      <c r="N21" s="1072"/>
    </row>
    <row r="22" spans="1:14" s="1073" customFormat="1" ht="16.5" customHeight="1" x14ac:dyDescent="0.25">
      <c r="A22" s="1072"/>
      <c r="B22" s="2357" t="s">
        <v>775</v>
      </c>
      <c r="C22" s="1803"/>
      <c r="D22" s="1803"/>
      <c r="E22" s="1803"/>
      <c r="F22" s="1803"/>
      <c r="G22" s="1803"/>
      <c r="H22" s="1803"/>
      <c r="I22" s="1803"/>
      <c r="J22" s="1803"/>
      <c r="K22" s="1803"/>
      <c r="L22" s="1803"/>
      <c r="M22" s="2358"/>
      <c r="N22" s="1072"/>
    </row>
    <row r="23" spans="1:14" s="1073" customFormat="1" ht="16.5" customHeight="1" x14ac:dyDescent="0.25">
      <c r="A23" s="1072"/>
      <c r="B23" s="2357" t="s">
        <v>2301</v>
      </c>
      <c r="C23" s="1803"/>
      <c r="D23" s="1803"/>
      <c r="E23" s="1803"/>
      <c r="F23" s="1803"/>
      <c r="G23" s="1803"/>
      <c r="H23" s="1803"/>
      <c r="I23" s="1803"/>
      <c r="J23" s="1803"/>
      <c r="K23" s="1803"/>
      <c r="L23" s="1803"/>
      <c r="M23" s="2358"/>
      <c r="N23" s="1072"/>
    </row>
    <row r="24" spans="1:14" s="1073" customFormat="1" ht="16.5" customHeight="1" x14ac:dyDescent="0.25">
      <c r="A24" s="1072"/>
      <c r="B24" s="2393" t="s">
        <v>2302</v>
      </c>
      <c r="C24" s="2394"/>
      <c r="D24" s="2394"/>
      <c r="E24" s="2394"/>
      <c r="F24" s="2394"/>
      <c r="G24" s="2394"/>
      <c r="H24" s="2394"/>
      <c r="I24" s="2394"/>
      <c r="J24" s="2394"/>
      <c r="K24" s="2394"/>
      <c r="L24" s="2394"/>
      <c r="M24" s="2395"/>
      <c r="N24" s="1072"/>
    </row>
    <row r="25" spans="1:14" ht="16.5" customHeight="1" x14ac:dyDescent="0.25">
      <c r="A25" s="45"/>
      <c r="B25" s="321"/>
      <c r="C25" s="45"/>
      <c r="D25" s="45"/>
      <c r="E25" s="45"/>
      <c r="F25" s="45"/>
      <c r="G25" s="45"/>
      <c r="H25" s="45"/>
      <c r="I25" s="45"/>
      <c r="J25" s="45"/>
      <c r="K25" s="45"/>
      <c r="L25" s="45"/>
      <c r="M25" s="45"/>
      <c r="N25" s="45"/>
    </row>
    <row r="26" spans="1:14" ht="18" customHeight="1" x14ac:dyDescent="0.25">
      <c r="A26" s="2311" t="s">
        <v>396</v>
      </c>
      <c r="B26" s="2311"/>
      <c r="C26" s="2311"/>
      <c r="D26" s="2311"/>
      <c r="E26" s="2311"/>
      <c r="F26" s="2311"/>
      <c r="G26" s="2311"/>
      <c r="H26" s="2311"/>
      <c r="I26" s="2311"/>
      <c r="J26" s="2311"/>
      <c r="K26" s="2311"/>
      <c r="L26" s="2311"/>
      <c r="M26" s="2311"/>
      <c r="N26" s="2311"/>
    </row>
    <row r="27" spans="1:14" ht="15.75" customHeight="1" x14ac:dyDescent="0.25">
      <c r="A27" s="114"/>
      <c r="B27" s="322"/>
      <c r="C27" s="114"/>
      <c r="D27" s="114"/>
      <c r="E27" s="114"/>
      <c r="F27" s="114"/>
      <c r="G27" s="114"/>
      <c r="H27" s="114"/>
      <c r="I27" s="114"/>
      <c r="J27" s="114"/>
      <c r="K27" s="114"/>
      <c r="L27" s="114"/>
      <c r="M27" s="114"/>
      <c r="N27" s="114"/>
    </row>
    <row r="28" spans="1:14" ht="16.5" customHeight="1" x14ac:dyDescent="0.25">
      <c r="A28" s="2317" t="s">
        <v>102</v>
      </c>
      <c r="B28" s="2317"/>
      <c r="C28" s="2317"/>
      <c r="D28" s="114"/>
      <c r="E28" s="114"/>
      <c r="F28" s="114"/>
      <c r="G28" s="114"/>
      <c r="H28" s="114"/>
      <c r="I28" s="114"/>
      <c r="J28" s="114"/>
      <c r="K28" s="114"/>
      <c r="L28" s="114"/>
      <c r="M28" s="114"/>
      <c r="N28" s="114"/>
    </row>
    <row r="29" spans="1:14" ht="13.5" customHeight="1" x14ac:dyDescent="0.25">
      <c r="A29" s="114"/>
      <c r="B29" s="114"/>
      <c r="C29" s="114"/>
      <c r="D29" s="114"/>
      <c r="E29" s="114"/>
      <c r="F29" s="114"/>
      <c r="G29" s="114"/>
      <c r="H29" s="114"/>
      <c r="I29" s="114"/>
      <c r="J29" s="114"/>
      <c r="K29" s="114"/>
      <c r="L29" s="114"/>
      <c r="M29" s="114"/>
      <c r="N29" s="114"/>
    </row>
    <row r="30" spans="1:14" ht="15" customHeight="1" x14ac:dyDescent="0.25">
      <c r="A30" s="114"/>
      <c r="B30" s="2384" t="s">
        <v>728</v>
      </c>
      <c r="C30" s="2385"/>
      <c r="D30" s="2385"/>
      <c r="E30" s="2385"/>
      <c r="F30" s="2385"/>
      <c r="G30" s="2385"/>
      <c r="H30" s="2385"/>
      <c r="I30" s="2385"/>
      <c r="J30" s="2385"/>
      <c r="K30" s="2386"/>
      <c r="L30" s="114"/>
      <c r="M30" s="114"/>
      <c r="N30" s="114"/>
    </row>
    <row r="31" spans="1:14" ht="15" customHeight="1" x14ac:dyDescent="0.25">
      <c r="A31" s="114"/>
      <c r="B31" s="2387" t="s">
        <v>727</v>
      </c>
      <c r="C31" s="2388"/>
      <c r="D31" s="2388"/>
      <c r="E31" s="2388"/>
      <c r="F31" s="2388"/>
      <c r="G31" s="2388"/>
      <c r="H31" s="2388"/>
      <c r="I31" s="2388"/>
      <c r="J31" s="2388"/>
      <c r="K31" s="2389"/>
      <c r="L31" s="114"/>
      <c r="M31" s="114"/>
      <c r="N31" s="114"/>
    </row>
    <row r="32" spans="1:14" ht="15" customHeight="1" x14ac:dyDescent="0.3">
      <c r="A32" s="114"/>
      <c r="B32" s="2387" t="s">
        <v>914</v>
      </c>
      <c r="C32" s="2388"/>
      <c r="D32" s="2388"/>
      <c r="E32" s="2388"/>
      <c r="F32" s="2388"/>
      <c r="G32" s="2388"/>
      <c r="H32" s="2388"/>
      <c r="I32" s="2388"/>
      <c r="J32" s="2388"/>
      <c r="K32" s="2389"/>
      <c r="L32" s="114"/>
      <c r="M32" s="114"/>
      <c r="N32" s="114"/>
    </row>
    <row r="33" spans="1:16" ht="15" customHeight="1" x14ac:dyDescent="0.25">
      <c r="A33" s="114"/>
      <c r="B33" s="2390" t="s">
        <v>729</v>
      </c>
      <c r="C33" s="2391"/>
      <c r="D33" s="2391"/>
      <c r="E33" s="2391"/>
      <c r="F33" s="2391"/>
      <c r="G33" s="2391"/>
      <c r="H33" s="2391"/>
      <c r="I33" s="2391"/>
      <c r="J33" s="2391"/>
      <c r="K33" s="2392"/>
      <c r="L33" s="114"/>
      <c r="M33" s="114"/>
      <c r="N33" s="114"/>
    </row>
    <row r="34" spans="1:16" ht="13.5" customHeight="1" x14ac:dyDescent="0.25">
      <c r="A34" s="114"/>
      <c r="B34" s="528"/>
      <c r="C34" s="114"/>
      <c r="D34" s="114"/>
      <c r="E34" s="114"/>
      <c r="F34" s="114"/>
      <c r="G34" s="114"/>
      <c r="H34" s="114"/>
      <c r="I34" s="114"/>
      <c r="J34" s="114"/>
      <c r="K34" s="114"/>
      <c r="L34" s="114"/>
      <c r="M34" s="114"/>
      <c r="N34" s="114"/>
    </row>
    <row r="35" spans="1:16" ht="13.5" customHeight="1" x14ac:dyDescent="0.25">
      <c r="A35" s="114"/>
      <c r="B35" s="561" t="s">
        <v>698</v>
      </c>
      <c r="C35" s="114"/>
      <c r="D35" s="114"/>
      <c r="E35" s="114"/>
      <c r="F35" s="114"/>
      <c r="G35" s="114"/>
      <c r="H35" s="114"/>
      <c r="I35" s="114"/>
      <c r="J35" s="114"/>
      <c r="K35" s="114"/>
      <c r="L35" s="114"/>
      <c r="M35" s="114"/>
      <c r="N35" s="114"/>
    </row>
    <row r="36" spans="1:16" ht="13.5" customHeight="1" x14ac:dyDescent="0.25">
      <c r="A36" s="114"/>
      <c r="B36" s="561"/>
      <c r="C36" s="114"/>
      <c r="D36" s="114"/>
      <c r="E36" s="114"/>
      <c r="F36" s="114"/>
      <c r="G36" s="114"/>
      <c r="H36" s="114"/>
      <c r="I36" s="114"/>
      <c r="J36" s="114"/>
      <c r="K36" s="114"/>
      <c r="L36" s="114"/>
      <c r="M36" s="114"/>
      <c r="N36" s="114"/>
    </row>
    <row r="37" spans="1:16" ht="19.5" customHeight="1" x14ac:dyDescent="0.25">
      <c r="A37" s="114"/>
      <c r="B37" s="1726" t="str">
        <f>IF('Project information'!$C$7="Certification stage","• Are some refrigerants installed in the project space?","•  Will some refrigerants be installed in the project space?")</f>
        <v>• Are some refrigerants installed in the project space?</v>
      </c>
      <c r="C37" s="1726"/>
      <c r="D37" s="1726"/>
      <c r="E37" s="1726"/>
      <c r="F37" s="274" t="s">
        <v>53</v>
      </c>
      <c r="G37" s="114"/>
      <c r="H37" s="114"/>
      <c r="I37" s="114"/>
      <c r="J37" s="114"/>
      <c r="K37" s="114"/>
      <c r="L37" s="114"/>
      <c r="M37" s="114"/>
      <c r="N37" s="114"/>
      <c r="O37" s="67"/>
      <c r="P37" s="67"/>
    </row>
    <row r="38" spans="1:16" ht="19.5" customHeight="1" x14ac:dyDescent="0.25">
      <c r="A38" s="114"/>
      <c r="B38" s="114" t="s">
        <v>730</v>
      </c>
      <c r="C38" s="114"/>
      <c r="D38" s="114"/>
      <c r="E38" s="114"/>
      <c r="F38" s="114"/>
      <c r="G38" s="817"/>
      <c r="H38" s="114"/>
      <c r="I38" s="114"/>
      <c r="J38" s="114"/>
      <c r="K38" s="114"/>
      <c r="L38" s="114"/>
      <c r="M38" s="114"/>
      <c r="N38" s="114"/>
      <c r="O38" s="67"/>
      <c r="P38" s="67"/>
    </row>
    <row r="39" spans="1:16" ht="19.5" customHeight="1" x14ac:dyDescent="0.25">
      <c r="A39" s="114"/>
      <c r="B39" s="1648" t="str">
        <f>IF('Project information'!$C$7="Certification stage","• Are there any CFC refrigerant or refrigerants with an ODP ≥ 0.05?","• Will there be any CFC refrigerant or refrigerants with an ODP ≥ 0.05?")</f>
        <v>• Are there any CFC refrigerant or refrigerants with an ODP ≥ 0.05?</v>
      </c>
      <c r="C39" s="1649"/>
      <c r="D39" s="1649"/>
      <c r="E39" s="1650"/>
      <c r="F39" s="614" t="s">
        <v>53</v>
      </c>
      <c r="G39" s="114"/>
      <c r="H39" s="114"/>
      <c r="I39" s="114"/>
      <c r="J39" s="114"/>
      <c r="K39" s="114"/>
      <c r="L39" s="114"/>
      <c r="M39" s="114"/>
      <c r="N39" s="114"/>
      <c r="O39" s="67"/>
    </row>
    <row r="40" spans="1:16" ht="19.5" customHeight="1" x14ac:dyDescent="0.25">
      <c r="A40" s="114"/>
      <c r="B40" s="1648" t="str">
        <f>IF('Project information'!$C$7="Certification stage","• Are there only refrigerants with an ODP of 0 and a GWP100 ≤ 50?","• Will there be only refrigerants with an ODP of 0 and a GWP100 ≤ 50?")</f>
        <v>• Are there only refrigerants with an ODP of 0 and a GWP100 ≤ 50?</v>
      </c>
      <c r="C40" s="1649"/>
      <c r="D40" s="1649"/>
      <c r="E40" s="1650"/>
      <c r="F40" s="614" t="s">
        <v>53</v>
      </c>
      <c r="G40" s="2361" t="s">
        <v>231</v>
      </c>
      <c r="H40" s="2362"/>
      <c r="I40" s="1737"/>
      <c r="J40" s="1738"/>
      <c r="K40" s="114"/>
      <c r="L40" s="114"/>
      <c r="M40" s="114"/>
      <c r="N40" s="114"/>
      <c r="O40" s="67"/>
    </row>
    <row r="41" spans="1:16" ht="19.5" customHeight="1" x14ac:dyDescent="0.25">
      <c r="A41" s="114"/>
      <c r="B41" s="1648" t="str">
        <f>IF('Project information'!$C$7="Certification stage","• Are there only systems using less than 250 grams of refrigerant?","• Will there be only systems using less than 250 grams of refrigerant?")</f>
        <v>• Are there only systems using less than 250 grams of refrigerant?</v>
      </c>
      <c r="C41" s="1649"/>
      <c r="D41" s="1649"/>
      <c r="E41" s="1650"/>
      <c r="F41" s="614" t="s">
        <v>53</v>
      </c>
      <c r="G41" s="114"/>
      <c r="H41" s="114"/>
      <c r="I41" s="114"/>
      <c r="J41" s="114"/>
      <c r="K41" s="114"/>
      <c r="L41" s="114"/>
      <c r="M41" s="114"/>
      <c r="N41" s="114"/>
      <c r="O41" s="67"/>
    </row>
    <row r="42" spans="1:16" x14ac:dyDescent="0.25">
      <c r="A42" s="114"/>
      <c r="B42" s="118"/>
      <c r="C42" s="118"/>
      <c r="D42" s="118"/>
      <c r="E42" s="118"/>
      <c r="F42" s="114"/>
      <c r="G42" s="114"/>
      <c r="H42" s="114"/>
      <c r="I42" s="114"/>
      <c r="J42" s="114"/>
      <c r="K42" s="114"/>
      <c r="L42" s="114"/>
      <c r="M42" s="323"/>
      <c r="N42" s="323"/>
    </row>
    <row r="43" spans="1:16" ht="18" customHeight="1" x14ac:dyDescent="0.25">
      <c r="A43" s="114"/>
      <c r="B43" s="1229" t="s">
        <v>77</v>
      </c>
      <c r="C43" s="227" t="str">
        <f>IF(F37="No","Yes",IF(F39="Yes","No",IF(AND(F39="No",OR(AND(I40&lt;&gt;"",F40="Yes"),F41="Yes")),"Yes","No")))</f>
        <v>No</v>
      </c>
      <c r="D43" s="118"/>
      <c r="E43" s="118"/>
      <c r="F43" s="114"/>
      <c r="G43" s="114"/>
      <c r="H43" s="114"/>
      <c r="I43" s="114"/>
      <c r="J43" s="114"/>
      <c r="K43" s="114"/>
      <c r="L43" s="114"/>
      <c r="M43" s="323"/>
      <c r="N43" s="323"/>
    </row>
    <row r="44" spans="1:16" ht="19.5" customHeight="1" x14ac:dyDescent="0.25">
      <c r="A44" s="114"/>
      <c r="B44" s="118"/>
      <c r="C44" s="118"/>
      <c r="D44" s="118"/>
      <c r="E44" s="118"/>
      <c r="F44" s="114"/>
      <c r="G44" s="114"/>
      <c r="H44" s="114"/>
      <c r="I44" s="114"/>
      <c r="J44" s="114"/>
      <c r="K44" s="114"/>
      <c r="L44" s="114"/>
      <c r="M44" s="323"/>
      <c r="N44" s="323"/>
    </row>
    <row r="45" spans="1:16" ht="16.5" customHeight="1" x14ac:dyDescent="0.25">
      <c r="A45" s="2317" t="s">
        <v>84</v>
      </c>
      <c r="B45" s="2317"/>
      <c r="C45" s="2317"/>
      <c r="D45" s="114"/>
      <c r="E45" s="114"/>
      <c r="F45" s="114"/>
      <c r="G45" s="114"/>
      <c r="H45" s="114"/>
      <c r="I45" s="114"/>
      <c r="J45" s="114"/>
      <c r="K45" s="114"/>
      <c r="L45" s="114"/>
      <c r="M45" s="114"/>
      <c r="N45" s="114"/>
    </row>
    <row r="46" spans="1:16" x14ac:dyDescent="0.25">
      <c r="A46" s="114"/>
      <c r="B46" s="640"/>
      <c r="C46" s="640"/>
      <c r="D46" s="640"/>
      <c r="E46" s="640"/>
      <c r="F46" s="640"/>
      <c r="G46" s="640"/>
      <c r="H46" s="114"/>
      <c r="I46" s="114"/>
      <c r="J46" s="114"/>
      <c r="K46" s="114"/>
      <c r="L46" s="114"/>
      <c r="M46" s="323"/>
      <c r="N46" s="323"/>
    </row>
    <row r="47" spans="1:16" ht="21" customHeight="1" x14ac:dyDescent="0.25">
      <c r="A47" s="114"/>
      <c r="B47" s="2322" t="s">
        <v>85</v>
      </c>
      <c r="C47" s="2323"/>
      <c r="D47" s="2323"/>
      <c r="E47" s="2323"/>
      <c r="F47" s="2323"/>
      <c r="G47" s="2323"/>
      <c r="H47" s="1228" t="s">
        <v>907</v>
      </c>
      <c r="I47" s="2324" t="s">
        <v>908</v>
      </c>
      <c r="J47" s="2325"/>
      <c r="K47" s="114"/>
      <c r="L47" s="114"/>
      <c r="M47" s="114"/>
      <c r="N47" s="114"/>
    </row>
    <row r="48" spans="1:16" ht="30" customHeight="1" x14ac:dyDescent="0.25">
      <c r="A48" s="114"/>
      <c r="B48" s="1648" t="str">
        <f>Submittals!G130</f>
        <v>If no refrigerant is used or only in systems using less than 250 grams of refrigerant:
• Document indicating that no system using refrigerants were installed by the project such as letter from tenant, etc.</v>
      </c>
      <c r="C48" s="1649"/>
      <c r="D48" s="1649"/>
      <c r="E48" s="1649"/>
      <c r="F48" s="1649"/>
      <c r="G48" s="1650"/>
      <c r="H48" s="614" t="s">
        <v>53</v>
      </c>
      <c r="I48" s="1689"/>
      <c r="J48" s="1690"/>
      <c r="K48" s="114"/>
      <c r="L48" s="114"/>
      <c r="M48" s="114"/>
      <c r="N48" s="114"/>
      <c r="O48" s="35" t="str">
        <f>IF(F37&lt;&gt;"No","Yes",IF(OR(B48="/",B48="No evidence required at this submission stage"),"Yes",IF(H48="Submitted","Yes","No")))</f>
        <v>Yes</v>
      </c>
    </row>
    <row r="49" spans="1:15" ht="33.75" customHeight="1" x14ac:dyDescent="0.25">
      <c r="A49" s="114"/>
      <c r="B49" s="1648" t="str">
        <f>Submittals!G131</f>
        <v>If low-impact refrigerants are used:
• Manufacturer’s published data indicating the proposed types of systems with the type of low-impact refrigerants used</v>
      </c>
      <c r="C49" s="1649"/>
      <c r="D49" s="1649"/>
      <c r="E49" s="1649"/>
      <c r="F49" s="1649"/>
      <c r="G49" s="1650"/>
      <c r="H49" s="614" t="s">
        <v>53</v>
      </c>
      <c r="I49" s="1689"/>
      <c r="J49" s="1690"/>
      <c r="K49" s="114"/>
      <c r="L49" s="114"/>
      <c r="M49" s="114"/>
      <c r="N49" s="114"/>
      <c r="O49" s="35" t="str">
        <f>IF(F37="No","Yes",IF(OR(B49="/",B49="No evidence required at this submission stage"),"Yes",IF(H49="Submitted","Yes","No")))</f>
        <v>No</v>
      </c>
    </row>
    <row r="50" spans="1:15" ht="42" customHeight="1" x14ac:dyDescent="0.25">
      <c r="A50" s="114"/>
      <c r="B50" s="1648" t="str">
        <f>Submittals!G132</f>
        <v>If low-impact refrigerants are used:
• Evidence of the equipment with low-impact refrigerants installed, such as photographs, invoices, receipts, commissioning report, etc.</v>
      </c>
      <c r="C50" s="1649"/>
      <c r="D50" s="1649"/>
      <c r="E50" s="1649"/>
      <c r="F50" s="1649"/>
      <c r="G50" s="1650"/>
      <c r="H50" s="1173" t="s">
        <v>53</v>
      </c>
      <c r="I50" s="1689"/>
      <c r="J50" s="1690"/>
      <c r="K50" s="114"/>
      <c r="L50" s="114"/>
      <c r="M50" s="114"/>
      <c r="N50" s="114"/>
      <c r="O50" s="35" t="str">
        <f>IF(F37="No","Yes",IF(OR(B50="/",B50="No evidence required at this submission stage"),"Yes",IF(H50="Submitted","Yes","No")))</f>
        <v>No</v>
      </c>
    </row>
    <row r="51" spans="1:15" ht="18.75" customHeight="1" x14ac:dyDescent="0.25">
      <c r="A51" s="114"/>
      <c r="B51" s="118"/>
      <c r="C51" s="118"/>
      <c r="D51" s="118"/>
      <c r="E51" s="118"/>
      <c r="F51" s="114"/>
      <c r="G51" s="114"/>
      <c r="H51" s="114"/>
      <c r="I51" s="114"/>
      <c r="J51" s="114"/>
      <c r="K51" s="114"/>
      <c r="L51" s="114"/>
      <c r="M51" s="323"/>
      <c r="N51" s="323"/>
    </row>
    <row r="52" spans="1:15" ht="16.5" customHeight="1" x14ac:dyDescent="0.25">
      <c r="A52" s="2317" t="s">
        <v>5</v>
      </c>
      <c r="B52" s="2317"/>
      <c r="C52" s="2317"/>
      <c r="D52" s="114"/>
      <c r="E52" s="114"/>
      <c r="F52" s="114"/>
      <c r="G52" s="114"/>
      <c r="H52" s="114"/>
      <c r="I52" s="114"/>
      <c r="J52" s="114"/>
      <c r="K52" s="114"/>
      <c r="L52" s="114"/>
      <c r="M52" s="114"/>
      <c r="N52" s="114"/>
    </row>
    <row r="53" spans="1:15" x14ac:dyDescent="0.25">
      <c r="A53" s="114"/>
      <c r="B53" s="118"/>
      <c r="C53" s="118"/>
      <c r="D53" s="118"/>
      <c r="E53" s="118"/>
      <c r="F53" s="114"/>
      <c r="G53" s="114"/>
      <c r="H53" s="114"/>
      <c r="I53" s="114"/>
      <c r="J53" s="114"/>
      <c r="K53" s="114"/>
      <c r="L53" s="114"/>
      <c r="M53" s="114"/>
      <c r="N53" s="114"/>
    </row>
    <row r="54" spans="1:15" ht="18" customHeight="1" x14ac:dyDescent="0.25">
      <c r="A54" s="114"/>
      <c r="B54" s="1256" t="s">
        <v>16</v>
      </c>
      <c r="C54" s="8">
        <f>IF(C43="Yes",1,0)</f>
        <v>0</v>
      </c>
      <c r="D54" s="118"/>
      <c r="E54" s="114"/>
      <c r="F54" s="114"/>
      <c r="G54" s="114"/>
      <c r="H54" s="114"/>
      <c r="I54" s="114"/>
      <c r="J54" s="114"/>
      <c r="K54" s="114"/>
      <c r="L54" s="114"/>
      <c r="M54" s="114"/>
      <c r="N54" s="114"/>
    </row>
    <row r="55" spans="1:15" ht="18" customHeight="1" x14ac:dyDescent="0.25">
      <c r="A55" s="114"/>
      <c r="B55" s="1256" t="s">
        <v>133</v>
      </c>
      <c r="C55" s="108" t="str">
        <f>IF(AND(COUNTIF(O48:O50,"Yes")=3,C54&gt;0),"Yes","No")</f>
        <v>No</v>
      </c>
      <c r="D55" s="118"/>
      <c r="E55" s="114"/>
      <c r="F55" s="114"/>
      <c r="G55" s="114"/>
      <c r="H55" s="114"/>
      <c r="I55" s="114"/>
      <c r="J55" s="114"/>
      <c r="K55" s="114"/>
      <c r="L55" s="114"/>
      <c r="M55" s="114"/>
      <c r="N55" s="114"/>
    </row>
    <row r="56" spans="1:15" ht="21" customHeight="1" x14ac:dyDescent="0.25">
      <c r="A56" s="114"/>
      <c r="B56" s="118"/>
      <c r="C56" s="118"/>
      <c r="D56" s="118"/>
      <c r="E56" s="118"/>
      <c r="F56" s="114"/>
      <c r="G56" s="114"/>
      <c r="H56" s="114"/>
      <c r="I56" s="114"/>
      <c r="J56" s="114"/>
      <c r="K56" s="114"/>
      <c r="L56" s="114"/>
      <c r="M56" s="114"/>
      <c r="N56" s="114"/>
    </row>
    <row r="57" spans="1:15" ht="18" customHeight="1" x14ac:dyDescent="0.25">
      <c r="A57" s="2311" t="s">
        <v>397</v>
      </c>
      <c r="B57" s="2311"/>
      <c r="C57" s="2311"/>
      <c r="D57" s="2311"/>
      <c r="E57" s="2311"/>
      <c r="F57" s="2311"/>
      <c r="G57" s="2311"/>
      <c r="H57" s="2311"/>
      <c r="I57" s="2311"/>
      <c r="J57" s="2311"/>
      <c r="K57" s="2311"/>
      <c r="L57" s="2311"/>
      <c r="M57" s="2311"/>
      <c r="N57" s="2311"/>
    </row>
    <row r="58" spans="1:15" ht="15.75" customHeight="1" x14ac:dyDescent="0.25">
      <c r="A58" s="45"/>
      <c r="B58" s="321"/>
      <c r="C58" s="45"/>
      <c r="D58" s="45"/>
      <c r="E58" s="45"/>
      <c r="F58" s="45"/>
      <c r="G58" s="45"/>
      <c r="H58" s="45"/>
      <c r="I58" s="45"/>
      <c r="J58" s="45"/>
      <c r="K58" s="45"/>
      <c r="L58" s="45"/>
      <c r="M58" s="45"/>
      <c r="N58" s="45"/>
    </row>
    <row r="59" spans="1:15" ht="16.5" customHeight="1" x14ac:dyDescent="0.25">
      <c r="A59" s="2317" t="s">
        <v>102</v>
      </c>
      <c r="B59" s="2317"/>
      <c r="C59" s="2317"/>
      <c r="D59" s="45"/>
      <c r="E59" s="45"/>
      <c r="F59" s="45"/>
      <c r="G59" s="45"/>
      <c r="H59" s="45"/>
      <c r="I59" s="45"/>
      <c r="J59" s="45"/>
      <c r="K59" s="45"/>
      <c r="L59" s="45"/>
      <c r="M59" s="45"/>
      <c r="N59" s="45"/>
    </row>
    <row r="60" spans="1:15" ht="13.5" customHeight="1" x14ac:dyDescent="0.25">
      <c r="A60" s="45"/>
      <c r="B60" s="45"/>
      <c r="C60" s="45"/>
      <c r="D60" s="45"/>
      <c r="E60" s="45"/>
      <c r="F60" s="45"/>
      <c r="G60" s="45"/>
      <c r="H60" s="45"/>
      <c r="I60" s="45"/>
      <c r="J60" s="45"/>
      <c r="K60" s="45"/>
      <c r="L60" s="45"/>
      <c r="M60" s="45"/>
      <c r="N60" s="45"/>
    </row>
    <row r="61" spans="1:15" ht="15" customHeight="1" x14ac:dyDescent="0.25">
      <c r="A61" s="45"/>
      <c r="B61" s="810" t="s">
        <v>663</v>
      </c>
      <c r="C61" s="45"/>
      <c r="D61" s="45"/>
      <c r="E61" s="45"/>
      <c r="F61" s="45"/>
      <c r="G61" s="45"/>
      <c r="H61" s="45"/>
      <c r="I61" s="45"/>
      <c r="J61" s="45"/>
      <c r="K61" s="45"/>
      <c r="L61" s="45"/>
      <c r="M61" s="45"/>
      <c r="N61" s="45"/>
    </row>
    <row r="62" spans="1:15" x14ac:dyDescent="0.25">
      <c r="A62" s="45"/>
      <c r="B62" s="45"/>
      <c r="C62" s="45"/>
      <c r="D62" s="45"/>
      <c r="E62" s="45"/>
      <c r="F62" s="45"/>
      <c r="G62" s="45"/>
      <c r="H62" s="45"/>
      <c r="I62" s="45"/>
      <c r="J62" s="45"/>
      <c r="K62" s="45"/>
      <c r="L62" s="45"/>
      <c r="M62" s="45"/>
      <c r="N62" s="45"/>
    </row>
    <row r="63" spans="1:15" ht="13.5" customHeight="1" x14ac:dyDescent="0.25">
      <c r="A63" s="45"/>
      <c r="B63" s="485" t="s">
        <v>669</v>
      </c>
      <c r="C63" s="45"/>
      <c r="D63" s="45"/>
      <c r="E63" s="45"/>
      <c r="F63" s="45"/>
      <c r="G63" s="45"/>
      <c r="H63" s="45"/>
      <c r="I63" s="45"/>
      <c r="J63" s="45"/>
      <c r="K63" s="45"/>
      <c r="L63" s="45"/>
      <c r="M63" s="45"/>
      <c r="N63" s="45"/>
    </row>
    <row r="64" spans="1:15" ht="13.5" customHeight="1" x14ac:dyDescent="0.25">
      <c r="A64" s="45"/>
      <c r="B64" s="485" t="s">
        <v>668</v>
      </c>
      <c r="C64" s="45"/>
      <c r="D64" s="45"/>
      <c r="E64" s="45"/>
      <c r="F64" s="45"/>
      <c r="G64" s="45"/>
      <c r="H64" s="45"/>
      <c r="I64" s="45"/>
      <c r="J64" s="45"/>
      <c r="K64" s="45"/>
      <c r="L64" s="45"/>
      <c r="M64" s="45"/>
      <c r="N64" s="45"/>
    </row>
    <row r="65" spans="1:14" ht="13.5" customHeight="1" x14ac:dyDescent="0.25">
      <c r="A65" s="45"/>
      <c r="B65" s="45"/>
      <c r="C65" s="45"/>
      <c r="D65" s="45"/>
      <c r="E65" s="45"/>
      <c r="F65" s="45"/>
      <c r="G65" s="45"/>
      <c r="H65" s="45"/>
      <c r="I65" s="45"/>
      <c r="J65" s="45"/>
      <c r="K65" s="45"/>
      <c r="L65" s="45"/>
      <c r="M65" s="45"/>
      <c r="N65" s="45"/>
    </row>
    <row r="66" spans="1:14" ht="17.25" customHeight="1" x14ac:dyDescent="0.25">
      <c r="A66" s="45"/>
      <c r="B66" s="2366" t="str">
        <f>IF('Project information'!$C$7="Certification stage","Does the project include commercial refrigeration systems ?","Will the project include commercial refrigeration systems ?")</f>
        <v>Does the project include commercial refrigeration systems ?</v>
      </c>
      <c r="C66" s="2324"/>
      <c r="D66" s="2324"/>
      <c r="E66" s="2325"/>
      <c r="F66" s="457" t="s">
        <v>53</v>
      </c>
      <c r="G66" s="334"/>
      <c r="H66" s="45"/>
      <c r="I66" s="45"/>
      <c r="J66" s="45"/>
      <c r="K66" s="45"/>
      <c r="L66" s="45"/>
      <c r="M66" s="45"/>
      <c r="N66" s="45"/>
    </row>
    <row r="67" spans="1:14" ht="10.5" customHeight="1" x14ac:dyDescent="0.25">
      <c r="A67" s="45"/>
      <c r="B67" s="45"/>
      <c r="C67" s="45"/>
      <c r="D67" s="45"/>
      <c r="E67" s="45"/>
      <c r="F67" s="45"/>
      <c r="G67" s="45"/>
      <c r="H67" s="45"/>
      <c r="I67" s="45"/>
      <c r="J67" s="45"/>
      <c r="K67" s="45"/>
      <c r="L67" s="45"/>
      <c r="M67" s="45"/>
      <c r="N67" s="45"/>
    </row>
    <row r="68" spans="1:14" ht="15" customHeight="1" x14ac:dyDescent="0.25">
      <c r="A68" s="45"/>
      <c r="B68" s="2377" t="s">
        <v>443</v>
      </c>
      <c r="C68" s="2378"/>
      <c r="D68" s="2378"/>
      <c r="E68" s="2378"/>
      <c r="F68" s="2378"/>
      <c r="G68" s="2378"/>
      <c r="H68" s="2378"/>
      <c r="I68" s="2378"/>
      <c r="J68" s="2379"/>
      <c r="K68" s="45"/>
      <c r="L68" s="45"/>
      <c r="M68" s="45"/>
      <c r="N68" s="45"/>
    </row>
    <row r="69" spans="1:14" ht="15" customHeight="1" x14ac:dyDescent="0.25">
      <c r="A69" s="45"/>
      <c r="B69" s="1838" t="s">
        <v>424</v>
      </c>
      <c r="C69" s="1839"/>
      <c r="D69" s="1839"/>
      <c r="E69" s="1839"/>
      <c r="F69" s="1839"/>
      <c r="G69" s="1839"/>
      <c r="H69" s="1839"/>
      <c r="I69" s="1839"/>
      <c r="J69" s="1840"/>
      <c r="K69" s="45"/>
      <c r="L69" s="45"/>
      <c r="M69" s="45"/>
      <c r="N69" s="45"/>
    </row>
    <row r="70" spans="1:14" ht="15" customHeight="1" x14ac:dyDescent="0.25">
      <c r="A70" s="45"/>
      <c r="B70" s="1838" t="s">
        <v>422</v>
      </c>
      <c r="C70" s="1839"/>
      <c r="D70" s="1839"/>
      <c r="E70" s="1839"/>
      <c r="F70" s="1839"/>
      <c r="G70" s="1839"/>
      <c r="H70" s="1839"/>
      <c r="I70" s="1839"/>
      <c r="J70" s="1840"/>
      <c r="K70" s="45"/>
      <c r="L70" s="45"/>
      <c r="M70" s="45"/>
      <c r="N70" s="45"/>
    </row>
    <row r="71" spans="1:14" ht="15" customHeight="1" x14ac:dyDescent="0.25">
      <c r="A71" s="45"/>
      <c r="B71" s="1841" t="s">
        <v>423</v>
      </c>
      <c r="C71" s="1842"/>
      <c r="D71" s="1842"/>
      <c r="E71" s="1842"/>
      <c r="F71" s="1842"/>
      <c r="G71" s="1842"/>
      <c r="H71" s="1842"/>
      <c r="I71" s="1842"/>
      <c r="J71" s="1843"/>
      <c r="K71" s="45"/>
      <c r="L71" s="45"/>
      <c r="M71" s="45"/>
      <c r="N71" s="45"/>
    </row>
    <row r="72" spans="1:14" ht="19.5" customHeight="1" x14ac:dyDescent="0.25">
      <c r="A72" s="45"/>
      <c r="B72" s="45"/>
      <c r="C72" s="45"/>
      <c r="D72" s="45"/>
      <c r="E72" s="45"/>
      <c r="F72" s="45"/>
      <c r="G72" s="45"/>
      <c r="H72" s="45"/>
      <c r="I72" s="45"/>
      <c r="J72" s="45"/>
      <c r="K72" s="45"/>
      <c r="L72" s="45"/>
      <c r="M72" s="45"/>
      <c r="N72" s="45"/>
    </row>
    <row r="73" spans="1:14" ht="16.5" customHeight="1" x14ac:dyDescent="0.25">
      <c r="A73" s="2317" t="s">
        <v>6</v>
      </c>
      <c r="B73" s="2317"/>
      <c r="C73" s="2317"/>
      <c r="D73" s="45"/>
      <c r="E73" s="45"/>
      <c r="F73" s="45"/>
      <c r="G73" s="45"/>
      <c r="H73" s="45"/>
      <c r="I73" s="45"/>
      <c r="J73" s="45"/>
      <c r="K73" s="45"/>
      <c r="L73" s="45"/>
      <c r="M73" s="45"/>
      <c r="N73" s="45"/>
    </row>
    <row r="74" spans="1:14" ht="13.5" customHeight="1" x14ac:dyDescent="0.25">
      <c r="A74" s="45"/>
      <c r="B74" s="45"/>
      <c r="C74" s="45"/>
      <c r="D74" s="45"/>
      <c r="E74" s="45"/>
      <c r="F74" s="45"/>
      <c r="G74" s="45"/>
      <c r="H74" s="45"/>
      <c r="I74" s="45"/>
      <c r="J74" s="45"/>
      <c r="K74" s="45"/>
      <c r="L74" s="45"/>
      <c r="M74" s="45"/>
      <c r="N74" s="45"/>
    </row>
    <row r="75" spans="1:14" ht="13.5" customHeight="1" x14ac:dyDescent="0.25">
      <c r="A75" s="45"/>
      <c r="B75" s="560" t="s">
        <v>1344</v>
      </c>
      <c r="C75" s="45"/>
      <c r="D75" s="45"/>
      <c r="E75" s="45"/>
      <c r="F75" s="45"/>
      <c r="G75" s="45"/>
      <c r="H75" s="45"/>
      <c r="I75" s="45"/>
      <c r="J75" s="45"/>
      <c r="K75" s="45"/>
      <c r="L75" s="45"/>
      <c r="M75" s="45"/>
      <c r="N75" s="45"/>
    </row>
    <row r="76" spans="1:14" ht="13.5" customHeight="1" x14ac:dyDescent="0.25">
      <c r="A76" s="45"/>
      <c r="B76" s="324"/>
      <c r="C76" s="45"/>
      <c r="D76" s="45"/>
      <c r="E76" s="45"/>
      <c r="F76" s="45"/>
      <c r="G76" s="45"/>
      <c r="H76" s="45"/>
      <c r="I76" s="45"/>
      <c r="J76" s="45"/>
      <c r="K76" s="45"/>
      <c r="L76" s="45"/>
      <c r="M76" s="45"/>
      <c r="N76" s="45"/>
    </row>
    <row r="77" spans="1:14" ht="15" customHeight="1" x14ac:dyDescent="0.3">
      <c r="A77" s="45"/>
      <c r="B77" s="45" t="s">
        <v>919</v>
      </c>
      <c r="C77" s="45"/>
      <c r="D77" s="45"/>
      <c r="E77" s="45"/>
      <c r="F77" s="45"/>
      <c r="G77" s="45"/>
      <c r="H77" s="45"/>
      <c r="I77" s="45"/>
      <c r="J77" s="45"/>
      <c r="K77" s="45"/>
      <c r="L77" s="45"/>
      <c r="M77" s="45"/>
      <c r="N77" s="45"/>
    </row>
    <row r="78" spans="1:14" ht="15" customHeight="1" x14ac:dyDescent="0.25">
      <c r="A78" s="45"/>
      <c r="B78" s="45" t="s">
        <v>915</v>
      </c>
      <c r="C78" s="45"/>
      <c r="D78" s="45"/>
      <c r="E78" s="45"/>
      <c r="F78" s="45"/>
      <c r="G78" s="45"/>
      <c r="H78" s="45"/>
      <c r="I78" s="45"/>
      <c r="J78" s="45"/>
      <c r="K78" s="45"/>
      <c r="L78" s="45"/>
      <c r="M78" s="45"/>
      <c r="N78" s="45"/>
    </row>
    <row r="79" spans="1:14" ht="15" customHeight="1" x14ac:dyDescent="0.25">
      <c r="A79" s="45"/>
      <c r="B79" s="45" t="s">
        <v>916</v>
      </c>
      <c r="C79" s="45"/>
      <c r="D79" s="45"/>
      <c r="E79" s="45"/>
      <c r="F79" s="45"/>
      <c r="G79" s="45"/>
      <c r="H79" s="45"/>
      <c r="I79" s="45"/>
      <c r="J79" s="45"/>
      <c r="K79" s="45"/>
      <c r="L79" s="45"/>
      <c r="M79" s="45"/>
      <c r="N79" s="45"/>
    </row>
    <row r="80" spans="1:14" ht="15" customHeight="1" x14ac:dyDescent="0.25">
      <c r="A80" s="45"/>
      <c r="B80" s="45" t="s">
        <v>917</v>
      </c>
      <c r="C80" s="45"/>
      <c r="D80" s="45"/>
      <c r="E80" s="45"/>
      <c r="F80" s="45"/>
      <c r="G80" s="45"/>
      <c r="H80" s="45"/>
      <c r="I80" s="45"/>
      <c r="J80" s="45"/>
      <c r="K80" s="45"/>
      <c r="L80" s="45"/>
      <c r="M80" s="45"/>
      <c r="N80" s="45"/>
    </row>
    <row r="81" spans="1:14" ht="15" customHeight="1" x14ac:dyDescent="0.25">
      <c r="A81" s="45"/>
      <c r="B81" s="45" t="s">
        <v>918</v>
      </c>
      <c r="C81" s="45"/>
      <c r="D81" s="45"/>
      <c r="E81" s="45"/>
      <c r="F81" s="45"/>
      <c r="G81" s="45"/>
      <c r="H81" s="45"/>
      <c r="I81" s="45"/>
      <c r="J81" s="45"/>
      <c r="K81" s="45"/>
      <c r="L81" s="45"/>
      <c r="M81" s="45"/>
      <c r="N81" s="45"/>
    </row>
    <row r="82" spans="1:14" ht="15" customHeight="1" x14ac:dyDescent="0.25">
      <c r="A82" s="45"/>
      <c r="B82" s="45" t="s">
        <v>2322</v>
      </c>
      <c r="C82" s="45"/>
      <c r="D82" s="45"/>
      <c r="E82" s="45"/>
      <c r="F82" s="45"/>
      <c r="G82" s="45"/>
      <c r="H82" s="45"/>
      <c r="I82" s="45"/>
      <c r="J82" s="45"/>
      <c r="K82" s="45"/>
      <c r="L82" s="45"/>
      <c r="M82" s="45"/>
      <c r="N82" s="45"/>
    </row>
    <row r="83" spans="1:14" ht="13.5" customHeight="1" x14ac:dyDescent="0.25">
      <c r="A83" s="45"/>
      <c r="B83" s="45"/>
      <c r="C83" s="45"/>
      <c r="D83" s="45"/>
      <c r="E83" s="45"/>
      <c r="F83" s="45"/>
      <c r="G83" s="45"/>
      <c r="H83" s="45"/>
      <c r="I83" s="45"/>
      <c r="J83" s="45"/>
      <c r="K83" s="45"/>
      <c r="L83" s="45"/>
      <c r="M83" s="45"/>
      <c r="N83" s="45"/>
    </row>
    <row r="84" spans="1:14" ht="18" customHeight="1" x14ac:dyDescent="0.25">
      <c r="A84" s="45"/>
      <c r="B84" s="45"/>
      <c r="C84" s="45"/>
      <c r="D84" s="1257" t="s">
        <v>398</v>
      </c>
      <c r="E84" s="1257" t="s">
        <v>399</v>
      </c>
      <c r="F84" s="1257" t="s">
        <v>400</v>
      </c>
      <c r="G84" s="1257" t="s">
        <v>401</v>
      </c>
      <c r="H84" s="1257" t="s">
        <v>402</v>
      </c>
      <c r="I84" s="1257" t="s">
        <v>403</v>
      </c>
      <c r="J84" s="1257" t="s">
        <v>404</v>
      </c>
      <c r="K84" s="1257" t="s">
        <v>405</v>
      </c>
      <c r="L84" s="45"/>
      <c r="M84" s="45"/>
      <c r="N84" s="45"/>
    </row>
    <row r="85" spans="1:14" ht="15" customHeight="1" x14ac:dyDescent="0.25">
      <c r="A85" s="45"/>
      <c r="B85" s="2367" t="s">
        <v>117</v>
      </c>
      <c r="C85" s="2368"/>
      <c r="D85" s="427"/>
      <c r="E85" s="427"/>
      <c r="F85" s="427"/>
      <c r="G85" s="427"/>
      <c r="H85" s="427"/>
      <c r="I85" s="427"/>
      <c r="J85" s="427"/>
      <c r="K85" s="427"/>
      <c r="L85" s="45"/>
      <c r="M85" s="45"/>
      <c r="N85" s="45"/>
    </row>
    <row r="86" spans="1:14" ht="15" customHeight="1" x14ac:dyDescent="0.25">
      <c r="A86" s="45"/>
      <c r="B86" s="2367" t="s">
        <v>406</v>
      </c>
      <c r="C86" s="2368"/>
      <c r="D86" s="428"/>
      <c r="E86" s="428"/>
      <c r="F86" s="428"/>
      <c r="G86" s="428"/>
      <c r="H86" s="428"/>
      <c r="I86" s="428"/>
      <c r="J86" s="428"/>
      <c r="K86" s="428"/>
      <c r="L86" s="45"/>
      <c r="M86" s="45"/>
      <c r="N86" s="45"/>
    </row>
    <row r="87" spans="1:14" ht="15" customHeight="1" x14ac:dyDescent="0.25">
      <c r="A87" s="45"/>
      <c r="B87" s="2367" t="s">
        <v>407</v>
      </c>
      <c r="C87" s="2368"/>
      <c r="D87" s="428"/>
      <c r="E87" s="428"/>
      <c r="F87" s="429"/>
      <c r="G87" s="429"/>
      <c r="H87" s="429"/>
      <c r="I87" s="429"/>
      <c r="J87" s="429"/>
      <c r="K87" s="429"/>
      <c r="L87" s="45"/>
      <c r="M87" s="45"/>
      <c r="N87" s="45"/>
    </row>
    <row r="88" spans="1:14" ht="15" customHeight="1" x14ac:dyDescent="0.3">
      <c r="A88" s="45"/>
      <c r="B88" s="2367" t="s">
        <v>419</v>
      </c>
      <c r="C88" s="2368"/>
      <c r="D88" s="428"/>
      <c r="E88" s="428"/>
      <c r="F88" s="428"/>
      <c r="G88" s="430"/>
      <c r="H88" s="430"/>
      <c r="I88" s="430"/>
      <c r="J88" s="430"/>
      <c r="K88" s="430"/>
      <c r="L88" s="45"/>
      <c r="M88" s="45"/>
      <c r="N88" s="45"/>
    </row>
    <row r="89" spans="1:14" ht="15" customHeight="1" x14ac:dyDescent="0.25">
      <c r="A89" s="45"/>
      <c r="B89" s="2367" t="s">
        <v>421</v>
      </c>
      <c r="C89" s="2368"/>
      <c r="D89" s="428"/>
      <c r="E89" s="428"/>
      <c r="F89" s="428"/>
      <c r="G89" s="430"/>
      <c r="H89" s="430"/>
      <c r="I89" s="430"/>
      <c r="J89" s="430"/>
      <c r="K89" s="430"/>
      <c r="L89" s="45"/>
      <c r="M89" s="45"/>
      <c r="N89" s="45"/>
    </row>
    <row r="90" spans="1:14" ht="15" customHeight="1" x14ac:dyDescent="0.25">
      <c r="A90" s="45"/>
      <c r="B90" s="2367" t="s">
        <v>414</v>
      </c>
      <c r="C90" s="2368"/>
      <c r="D90" s="431" t="str">
        <f t="shared" ref="D90:H90" si="0">IF(D89="","",D89/D88)</f>
        <v/>
      </c>
      <c r="E90" s="431" t="str">
        <f t="shared" si="0"/>
        <v/>
      </c>
      <c r="F90" s="431" t="str">
        <f t="shared" si="0"/>
        <v/>
      </c>
      <c r="G90" s="431" t="str">
        <f t="shared" si="0"/>
        <v/>
      </c>
      <c r="H90" s="431" t="str">
        <f t="shared" si="0"/>
        <v/>
      </c>
      <c r="I90" s="431"/>
      <c r="J90" s="431"/>
      <c r="K90" s="431"/>
      <c r="L90" s="45"/>
      <c r="M90" s="45"/>
      <c r="N90" s="45"/>
    </row>
    <row r="91" spans="1:14" ht="15" customHeight="1" x14ac:dyDescent="0.25">
      <c r="A91" s="45"/>
      <c r="B91" s="2367" t="s">
        <v>415</v>
      </c>
      <c r="C91" s="2368"/>
      <c r="D91" s="428"/>
      <c r="E91" s="428"/>
      <c r="F91" s="428"/>
      <c r="G91" s="430"/>
      <c r="H91" s="430"/>
      <c r="I91" s="430"/>
      <c r="J91" s="430"/>
      <c r="K91" s="430"/>
      <c r="L91" s="45"/>
      <c r="M91" s="45"/>
      <c r="N91" s="45"/>
    </row>
    <row r="92" spans="1:14" ht="15" customHeight="1" x14ac:dyDescent="0.3">
      <c r="A92" s="45"/>
      <c r="B92" s="2367" t="s">
        <v>420</v>
      </c>
      <c r="C92" s="2368"/>
      <c r="D92" s="428"/>
      <c r="E92" s="428"/>
      <c r="F92" s="428"/>
      <c r="G92" s="430"/>
      <c r="H92" s="430"/>
      <c r="I92" s="430"/>
      <c r="J92" s="430"/>
      <c r="K92" s="430"/>
      <c r="L92" s="45"/>
      <c r="M92" s="45"/>
      <c r="N92" s="45"/>
    </row>
    <row r="93" spans="1:14" ht="15" customHeight="1" x14ac:dyDescent="0.25">
      <c r="A93" s="45"/>
      <c r="B93" s="2367" t="s">
        <v>416</v>
      </c>
      <c r="C93" s="2368" t="s">
        <v>408</v>
      </c>
      <c r="D93" s="432"/>
      <c r="E93" s="432"/>
      <c r="F93" s="432"/>
      <c r="G93" s="433"/>
      <c r="H93" s="433"/>
      <c r="I93" s="433"/>
      <c r="J93" s="433"/>
      <c r="K93" s="433"/>
      <c r="L93" s="45"/>
      <c r="M93" s="45"/>
      <c r="N93" s="45"/>
    </row>
    <row r="94" spans="1:14" ht="15" customHeight="1" x14ac:dyDescent="0.25">
      <c r="A94" s="45"/>
      <c r="B94" s="2367" t="s">
        <v>417</v>
      </c>
      <c r="C94" s="2368" t="s">
        <v>409</v>
      </c>
      <c r="D94" s="432"/>
      <c r="E94" s="432"/>
      <c r="F94" s="432"/>
      <c r="G94" s="433"/>
      <c r="H94" s="433"/>
      <c r="I94" s="433"/>
      <c r="J94" s="433"/>
      <c r="K94" s="433"/>
      <c r="L94" s="45"/>
      <c r="M94" s="45"/>
      <c r="N94" s="45"/>
    </row>
    <row r="95" spans="1:14" ht="15" customHeight="1" x14ac:dyDescent="0.25">
      <c r="A95" s="45"/>
      <c r="B95" s="2367" t="s">
        <v>418</v>
      </c>
      <c r="C95" s="2368" t="s">
        <v>410</v>
      </c>
      <c r="D95" s="428"/>
      <c r="E95" s="428"/>
      <c r="F95" s="428"/>
      <c r="G95" s="430"/>
      <c r="H95" s="430"/>
      <c r="I95" s="430"/>
      <c r="J95" s="430"/>
      <c r="K95" s="430"/>
      <c r="L95" s="45"/>
      <c r="M95" s="45"/>
      <c r="N95" s="45"/>
    </row>
    <row r="96" spans="1:14" ht="15" customHeight="1" x14ac:dyDescent="0.25">
      <c r="A96" s="45"/>
      <c r="B96" s="2367" t="s">
        <v>411</v>
      </c>
      <c r="C96" s="2368" t="s">
        <v>411</v>
      </c>
      <c r="D96" s="434" t="str">
        <f>IFERROR(D91*(D93*D95+D94)*D90/D95,"")</f>
        <v/>
      </c>
      <c r="E96" s="434" t="str">
        <f t="shared" ref="E96:K96" si="1">IFERROR(E91*(E93*E95+E94)*E90/E95,"")</f>
        <v/>
      </c>
      <c r="F96" s="434" t="str">
        <f t="shared" si="1"/>
        <v/>
      </c>
      <c r="G96" s="434" t="str">
        <f t="shared" si="1"/>
        <v/>
      </c>
      <c r="H96" s="434" t="str">
        <f t="shared" si="1"/>
        <v/>
      </c>
      <c r="I96" s="434" t="str">
        <f t="shared" si="1"/>
        <v/>
      </c>
      <c r="J96" s="434" t="str">
        <f t="shared" si="1"/>
        <v/>
      </c>
      <c r="K96" s="434" t="str">
        <f t="shared" si="1"/>
        <v/>
      </c>
      <c r="L96" s="45"/>
      <c r="M96" s="45"/>
      <c r="N96" s="45"/>
    </row>
    <row r="97" spans="1:15" ht="15" customHeight="1" x14ac:dyDescent="0.25">
      <c r="A97" s="45"/>
      <c r="B97" s="2367" t="s">
        <v>412</v>
      </c>
      <c r="C97" s="2368" t="s">
        <v>412</v>
      </c>
      <c r="D97" s="435" t="str">
        <f>IFERROR(D92*(D93*D95+D94)*D90/D95,"")</f>
        <v/>
      </c>
      <c r="E97" s="435" t="str">
        <f t="shared" ref="E97:K97" si="2">IFERROR(E92*(E93*E95+E94)*E90/E95,"")</f>
        <v/>
      </c>
      <c r="F97" s="435" t="str">
        <f t="shared" si="2"/>
        <v/>
      </c>
      <c r="G97" s="435" t="str">
        <f t="shared" si="2"/>
        <v/>
      </c>
      <c r="H97" s="435" t="str">
        <f t="shared" si="2"/>
        <v/>
      </c>
      <c r="I97" s="435" t="str">
        <f t="shared" si="2"/>
        <v/>
      </c>
      <c r="J97" s="435" t="str">
        <f t="shared" si="2"/>
        <v/>
      </c>
      <c r="K97" s="435" t="str">
        <f t="shared" si="2"/>
        <v/>
      </c>
      <c r="L97" s="45"/>
      <c r="M97" s="45"/>
      <c r="N97" s="45"/>
    </row>
    <row r="98" spans="1:15" ht="18.75" customHeight="1" x14ac:dyDescent="0.25">
      <c r="A98" s="45"/>
      <c r="B98" s="2369" t="s">
        <v>413</v>
      </c>
      <c r="C98" s="2370"/>
      <c r="D98" s="436" t="str">
        <f t="shared" ref="D98:E98" si="3">IF(OR(D96="",D97=""),"",D97+D96*10^5)</f>
        <v/>
      </c>
      <c r="E98" s="436" t="str">
        <f t="shared" si="3"/>
        <v/>
      </c>
      <c r="F98" s="436" t="str">
        <f>IF(OR(F96="",F97=""),"",F97+F96*10^5)</f>
        <v/>
      </c>
      <c r="G98" s="436" t="str">
        <f t="shared" ref="G98:K98" si="4">IF(OR(G96="",G97=""),"",G97+G96*10^5)</f>
        <v/>
      </c>
      <c r="H98" s="436" t="str">
        <f t="shared" si="4"/>
        <v/>
      </c>
      <c r="I98" s="436" t="str">
        <f t="shared" si="4"/>
        <v/>
      </c>
      <c r="J98" s="436" t="str">
        <f t="shared" si="4"/>
        <v/>
      </c>
      <c r="K98" s="436" t="str">
        <f t="shared" si="4"/>
        <v/>
      </c>
      <c r="L98" s="45"/>
      <c r="M98" s="45"/>
      <c r="N98" s="45"/>
    </row>
    <row r="99" spans="1:15" ht="18.75" customHeight="1" x14ac:dyDescent="0.25">
      <c r="A99" s="45"/>
      <c r="B99" s="45"/>
      <c r="C99" s="45"/>
      <c r="D99" s="45"/>
      <c r="E99" s="45"/>
      <c r="F99" s="45"/>
      <c r="G99" s="45"/>
      <c r="H99" s="45"/>
      <c r="I99" s="45"/>
      <c r="J99" s="45"/>
      <c r="K99" s="45"/>
      <c r="L99" s="45"/>
      <c r="M99" s="45"/>
      <c r="N99" s="45"/>
    </row>
    <row r="100" spans="1:15" ht="18.75" customHeight="1" x14ac:dyDescent="0.25">
      <c r="A100" s="45"/>
      <c r="B100" s="2372" t="s">
        <v>920</v>
      </c>
      <c r="C100" s="2372"/>
      <c r="D100" s="2372"/>
      <c r="E100" s="818" t="str">
        <f>IFERROR(SUMPRODUCT(D98:$K98,D88:$K88,D86:$K86)/SUMPRODUCT(D88:$K88,D86:$K86),"")</f>
        <v/>
      </c>
      <c r="F100" s="45"/>
      <c r="G100" s="45"/>
      <c r="H100" s="45"/>
      <c r="I100" s="45"/>
      <c r="J100" s="45"/>
      <c r="K100" s="45"/>
      <c r="L100" s="45"/>
      <c r="M100" s="45"/>
      <c r="N100" s="45"/>
    </row>
    <row r="101" spans="1:15" ht="18.75" customHeight="1" x14ac:dyDescent="0.25">
      <c r="A101" s="45"/>
      <c r="B101" s="46"/>
      <c r="C101" s="46"/>
      <c r="D101" s="46"/>
      <c r="E101" s="46"/>
      <c r="F101" s="45"/>
      <c r="G101" s="45"/>
      <c r="H101" s="45"/>
      <c r="I101" s="45"/>
      <c r="J101" s="45"/>
      <c r="K101" s="45"/>
      <c r="L101" s="45"/>
      <c r="M101" s="65"/>
      <c r="N101" s="65"/>
    </row>
    <row r="102" spans="1:15" ht="16.5" customHeight="1" x14ac:dyDescent="0.25">
      <c r="A102" s="2317" t="s">
        <v>84</v>
      </c>
      <c r="B102" s="2317"/>
      <c r="C102" s="2317"/>
      <c r="D102" s="45"/>
      <c r="E102" s="45"/>
      <c r="F102" s="45"/>
      <c r="G102" s="45"/>
      <c r="H102" s="45"/>
      <c r="I102" s="45"/>
      <c r="J102" s="45"/>
      <c r="K102" s="45"/>
      <c r="L102" s="45"/>
      <c r="M102" s="45"/>
      <c r="N102" s="45"/>
    </row>
    <row r="103" spans="1:15" x14ac:dyDescent="0.25">
      <c r="A103" s="45"/>
      <c r="B103" s="45"/>
      <c r="C103" s="45"/>
      <c r="D103" s="45"/>
      <c r="E103" s="45"/>
      <c r="F103" s="45"/>
      <c r="G103" s="45"/>
      <c r="H103" s="45"/>
      <c r="I103" s="45"/>
      <c r="J103" s="45"/>
      <c r="K103" s="45"/>
      <c r="L103" s="45"/>
      <c r="M103" s="45"/>
      <c r="N103" s="45"/>
    </row>
    <row r="104" spans="1:15" ht="21" customHeight="1" x14ac:dyDescent="0.25">
      <c r="A104" s="45"/>
      <c r="B104" s="2322" t="s">
        <v>85</v>
      </c>
      <c r="C104" s="2323"/>
      <c r="D104" s="2323"/>
      <c r="E104" s="2323"/>
      <c r="F104" s="2323"/>
      <c r="G104" s="2323"/>
      <c r="H104" s="1228" t="s">
        <v>907</v>
      </c>
      <c r="I104" s="2324" t="s">
        <v>908</v>
      </c>
      <c r="J104" s="2325"/>
      <c r="K104" s="45"/>
      <c r="L104" s="45"/>
      <c r="M104" s="45"/>
      <c r="N104" s="45"/>
    </row>
    <row r="105" spans="1:15" ht="24" customHeight="1" x14ac:dyDescent="0.25">
      <c r="A105" s="45"/>
      <c r="B105" s="1648" t="str">
        <f>Submittals!G133</f>
        <v xml:space="preserve">• Manufacturer’s published data indicating the proposed types of systems with the type and volume of refrigerants used </v>
      </c>
      <c r="C105" s="1649"/>
      <c r="D105" s="1649"/>
      <c r="E105" s="1649"/>
      <c r="F105" s="1649"/>
      <c r="G105" s="1650"/>
      <c r="H105" s="614" t="s">
        <v>53</v>
      </c>
      <c r="I105" s="1689"/>
      <c r="J105" s="1690"/>
      <c r="K105" s="45"/>
      <c r="L105" s="45"/>
      <c r="M105" s="45"/>
      <c r="N105" s="45"/>
      <c r="O105" s="35" t="str">
        <f>IF(OR(B105="/",B105="No evidence required at this submission stage"),"Yes",IF(H105="Submitted","Yes","No"))</f>
        <v>No</v>
      </c>
    </row>
    <row r="106" spans="1:15" ht="24" customHeight="1" x14ac:dyDescent="0.25">
      <c r="A106" s="45"/>
      <c r="B106" s="1648" t="str">
        <f>Submittals!G134</f>
        <v>• Evidence of the HVAC equipment installed, such as photographs, invoices, receipts, commissioning report, etc.</v>
      </c>
      <c r="C106" s="1649"/>
      <c r="D106" s="1649"/>
      <c r="E106" s="1649"/>
      <c r="F106" s="1649"/>
      <c r="G106" s="1650"/>
      <c r="H106" s="614" t="s">
        <v>53</v>
      </c>
      <c r="I106" s="1741"/>
      <c r="J106" s="1742"/>
      <c r="K106" s="45"/>
      <c r="L106" s="45"/>
      <c r="M106" s="45"/>
      <c r="N106" s="45"/>
      <c r="O106" s="35" t="str">
        <f>IF(OR(B106="/",B106="No evidence required at this submission stage"),"Yes",IF(H106="Submitted","Yes","No"))</f>
        <v>No</v>
      </c>
    </row>
    <row r="107" spans="1:15" ht="16.5" customHeight="1" x14ac:dyDescent="0.25">
      <c r="A107" s="45"/>
      <c r="B107" s="46"/>
      <c r="C107" s="46"/>
      <c r="D107" s="46"/>
      <c r="E107" s="46"/>
      <c r="F107" s="45"/>
      <c r="G107" s="45"/>
      <c r="H107" s="45"/>
      <c r="I107" s="45"/>
      <c r="J107" s="45"/>
      <c r="K107" s="45"/>
      <c r="L107" s="45"/>
      <c r="M107" s="65"/>
      <c r="N107" s="65"/>
    </row>
    <row r="108" spans="1:15" ht="16.5" customHeight="1" x14ac:dyDescent="0.25">
      <c r="A108" s="2317" t="s">
        <v>5</v>
      </c>
      <c r="B108" s="2317"/>
      <c r="C108" s="2317"/>
      <c r="D108" s="45"/>
      <c r="E108" s="45"/>
      <c r="F108" s="45"/>
      <c r="G108" s="45"/>
      <c r="H108" s="45"/>
      <c r="I108" s="45"/>
      <c r="J108" s="45"/>
      <c r="K108" s="45"/>
      <c r="L108" s="45"/>
      <c r="M108" s="45"/>
      <c r="N108" s="45"/>
    </row>
    <row r="109" spans="1:15" x14ac:dyDescent="0.25">
      <c r="A109" s="45"/>
      <c r="B109" s="46"/>
      <c r="C109" s="46"/>
      <c r="D109" s="46"/>
      <c r="E109" s="46"/>
      <c r="F109" s="45"/>
      <c r="G109" s="45"/>
      <c r="H109" s="45"/>
      <c r="I109" s="45"/>
      <c r="J109" s="45"/>
      <c r="K109" s="45"/>
      <c r="L109" s="45"/>
      <c r="M109" s="45"/>
      <c r="N109" s="45"/>
    </row>
    <row r="110" spans="1:15" ht="18" customHeight="1" x14ac:dyDescent="0.25">
      <c r="A110" s="45"/>
      <c r="B110" s="1256" t="s">
        <v>16</v>
      </c>
      <c r="C110" s="8">
        <f>IF(F66="Yes",IF(AND(COUNTIF(E146:E149,"Yes")&gt;0,E100&lt;11),1,0),IF(E100&lt;11,1,0))</f>
        <v>0</v>
      </c>
      <c r="D110" s="269"/>
      <c r="E110" s="45"/>
      <c r="F110" s="45"/>
      <c r="G110" s="45"/>
      <c r="H110" s="45"/>
      <c r="I110" s="45"/>
      <c r="J110" s="45"/>
      <c r="K110" s="45"/>
      <c r="L110" s="45"/>
      <c r="M110" s="45"/>
      <c r="N110" s="45"/>
    </row>
    <row r="111" spans="1:15" ht="18" customHeight="1" x14ac:dyDescent="0.25">
      <c r="A111" s="45"/>
      <c r="B111" s="1256" t="s">
        <v>133</v>
      </c>
      <c r="C111" s="108" t="str">
        <f>IF(AND(COUNTIF(O105:O106,"Yes")=2,C110&gt;0),"Yes","No")</f>
        <v>No</v>
      </c>
      <c r="D111" s="46"/>
      <c r="E111" s="45"/>
      <c r="F111" s="45"/>
      <c r="G111" s="45"/>
      <c r="H111" s="45"/>
      <c r="I111" s="45"/>
      <c r="J111" s="45"/>
      <c r="K111" s="45"/>
      <c r="L111" s="45"/>
      <c r="M111" s="45"/>
      <c r="N111" s="45"/>
    </row>
    <row r="112" spans="1:15" ht="20.25" customHeight="1" x14ac:dyDescent="0.25">
      <c r="A112" s="45"/>
      <c r="B112" s="46"/>
      <c r="C112" s="46"/>
      <c r="D112" s="46"/>
      <c r="E112" s="46"/>
      <c r="F112" s="45"/>
      <c r="G112" s="45"/>
      <c r="H112" s="45"/>
      <c r="I112" s="45"/>
      <c r="J112" s="45"/>
      <c r="K112" s="45"/>
      <c r="L112" s="45"/>
      <c r="M112" s="45"/>
      <c r="N112" s="45"/>
    </row>
    <row r="113" spans="1:14" ht="18" customHeight="1" x14ac:dyDescent="0.25">
      <c r="A113" s="2311" t="s">
        <v>393</v>
      </c>
      <c r="B113" s="2311"/>
      <c r="C113" s="2311"/>
      <c r="D113" s="2311"/>
      <c r="E113" s="2311"/>
      <c r="F113" s="2311"/>
      <c r="G113" s="2311"/>
      <c r="H113" s="2311"/>
      <c r="I113" s="2311"/>
      <c r="J113" s="2311"/>
      <c r="K113" s="2311"/>
      <c r="L113" s="2311"/>
      <c r="M113" s="2311"/>
      <c r="N113" s="2311"/>
    </row>
    <row r="114" spans="1:14" ht="15.75" customHeight="1" x14ac:dyDescent="0.25">
      <c r="A114" s="335"/>
      <c r="B114" s="335"/>
      <c r="C114" s="335"/>
      <c r="D114" s="335"/>
      <c r="E114" s="335"/>
      <c r="F114" s="335"/>
      <c r="G114" s="335"/>
      <c r="H114" s="335"/>
      <c r="I114" s="335"/>
      <c r="J114" s="335"/>
      <c r="K114" s="335"/>
      <c r="L114" s="335"/>
      <c r="M114" s="335"/>
      <c r="N114" s="335"/>
    </row>
    <row r="115" spans="1:14" ht="16.5" customHeight="1" x14ac:dyDescent="0.25">
      <c r="A115" s="2317" t="s">
        <v>102</v>
      </c>
      <c r="B115" s="2317"/>
      <c r="C115" s="2317"/>
      <c r="D115" s="335"/>
      <c r="E115" s="335"/>
      <c r="F115" s="335"/>
      <c r="G115" s="335"/>
      <c r="H115" s="335"/>
      <c r="I115" s="335"/>
      <c r="J115" s="335"/>
      <c r="K115" s="335"/>
      <c r="L115" s="335"/>
      <c r="M115" s="335"/>
      <c r="N115" s="335"/>
    </row>
    <row r="116" spans="1:14" ht="15" customHeight="1" x14ac:dyDescent="0.25">
      <c r="A116" s="335"/>
      <c r="B116" s="335"/>
      <c r="C116" s="335"/>
      <c r="D116" s="335"/>
      <c r="E116" s="335"/>
      <c r="F116" s="335"/>
      <c r="G116" s="335"/>
      <c r="H116" s="335"/>
      <c r="I116" s="335"/>
      <c r="J116" s="335"/>
      <c r="K116" s="335"/>
      <c r="L116" s="335"/>
      <c r="M116" s="335"/>
      <c r="N116" s="335"/>
    </row>
    <row r="117" spans="1:14" ht="15" customHeight="1" x14ac:dyDescent="0.25">
      <c r="A117" s="115"/>
      <c r="B117" s="487" t="s">
        <v>667</v>
      </c>
      <c r="C117" s="115"/>
      <c r="D117" s="115"/>
      <c r="E117" s="335"/>
      <c r="F117" s="335"/>
      <c r="G117" s="335"/>
      <c r="H117" s="335"/>
      <c r="I117" s="335"/>
      <c r="J117" s="335"/>
      <c r="K117" s="335"/>
      <c r="L117" s="335"/>
      <c r="M117" s="335"/>
      <c r="N117" s="335"/>
    </row>
    <row r="118" spans="1:14" ht="15" customHeight="1" x14ac:dyDescent="0.25">
      <c r="A118" s="115"/>
      <c r="B118" s="488" t="s">
        <v>440</v>
      </c>
      <c r="C118" s="115"/>
      <c r="D118" s="115"/>
      <c r="E118" s="335"/>
      <c r="F118" s="335"/>
      <c r="G118" s="335"/>
      <c r="H118" s="335"/>
      <c r="I118" s="335"/>
      <c r="J118" s="335"/>
      <c r="K118" s="335"/>
      <c r="L118" s="335"/>
      <c r="M118" s="335"/>
      <c r="N118" s="335"/>
    </row>
    <row r="119" spans="1:14" ht="15" customHeight="1" x14ac:dyDescent="0.25">
      <c r="A119" s="115"/>
      <c r="B119" s="488" t="s">
        <v>441</v>
      </c>
      <c r="C119" s="115"/>
      <c r="D119" s="115"/>
      <c r="E119" s="335"/>
      <c r="F119" s="335"/>
      <c r="G119" s="335"/>
      <c r="H119" s="335"/>
      <c r="I119" s="335"/>
      <c r="J119" s="335"/>
      <c r="K119" s="335"/>
      <c r="L119" s="335"/>
      <c r="M119" s="335"/>
      <c r="N119" s="335"/>
    </row>
    <row r="120" spans="1:14" ht="15" customHeight="1" x14ac:dyDescent="0.25">
      <c r="A120" s="115"/>
      <c r="B120" s="488" t="s">
        <v>442</v>
      </c>
      <c r="C120" s="115"/>
      <c r="D120" s="115"/>
      <c r="E120" s="115"/>
      <c r="F120" s="115"/>
      <c r="G120" s="115"/>
      <c r="H120" s="115"/>
      <c r="I120" s="115"/>
      <c r="J120" s="115"/>
      <c r="K120" s="115"/>
      <c r="L120" s="115"/>
      <c r="M120" s="115"/>
      <c r="N120" s="115"/>
    </row>
    <row r="121" spans="1:14" ht="15" customHeight="1" x14ac:dyDescent="0.25">
      <c r="A121" s="115"/>
      <c r="B121" s="115"/>
      <c r="C121" s="115"/>
      <c r="D121" s="115"/>
      <c r="E121" s="115"/>
      <c r="F121" s="115"/>
      <c r="G121" s="115"/>
      <c r="H121" s="115"/>
      <c r="I121" s="115"/>
      <c r="J121" s="115"/>
      <c r="K121" s="115"/>
      <c r="L121" s="115"/>
      <c r="M121" s="115"/>
      <c r="N121" s="115"/>
    </row>
    <row r="122" spans="1:14" ht="15" customHeight="1" x14ac:dyDescent="0.25">
      <c r="A122" s="115"/>
      <c r="B122" s="469" t="s">
        <v>664</v>
      </c>
      <c r="C122" s="471"/>
      <c r="D122" s="471"/>
      <c r="E122" s="471"/>
      <c r="F122" s="471"/>
      <c r="G122" s="471"/>
      <c r="H122" s="471"/>
      <c r="I122" s="471"/>
      <c r="J122" s="471"/>
      <c r="K122" s="472"/>
      <c r="L122" s="115"/>
      <c r="M122" s="115"/>
      <c r="N122" s="115"/>
    </row>
    <row r="123" spans="1:14" ht="15" customHeight="1" x14ac:dyDescent="0.25">
      <c r="A123" s="115"/>
      <c r="B123" s="470" t="s">
        <v>670</v>
      </c>
      <c r="C123" s="486"/>
      <c r="D123" s="486"/>
      <c r="E123" s="486"/>
      <c r="F123" s="486"/>
      <c r="G123" s="486"/>
      <c r="H123" s="486"/>
      <c r="I123" s="486"/>
      <c r="J123" s="486"/>
      <c r="K123" s="473"/>
      <c r="L123" s="115"/>
      <c r="M123" s="115"/>
      <c r="N123" s="115"/>
    </row>
    <row r="124" spans="1:14" ht="30" customHeight="1" x14ac:dyDescent="0.25">
      <c r="A124" s="115"/>
      <c r="B124" s="2238" t="s">
        <v>671</v>
      </c>
      <c r="C124" s="2239"/>
      <c r="D124" s="2239"/>
      <c r="E124" s="2239"/>
      <c r="F124" s="2239"/>
      <c r="G124" s="2239"/>
      <c r="H124" s="2239"/>
      <c r="I124" s="2239"/>
      <c r="J124" s="2239"/>
      <c r="K124" s="2240"/>
      <c r="L124" s="115"/>
      <c r="M124" s="115"/>
      <c r="N124" s="115"/>
    </row>
    <row r="125" spans="1:14" ht="42" customHeight="1" x14ac:dyDescent="0.25">
      <c r="A125" s="115"/>
      <c r="B125" s="2238" t="s">
        <v>672</v>
      </c>
      <c r="C125" s="2239"/>
      <c r="D125" s="2239"/>
      <c r="E125" s="2239"/>
      <c r="F125" s="2239"/>
      <c r="G125" s="2239"/>
      <c r="H125" s="2239"/>
      <c r="I125" s="2239"/>
      <c r="J125" s="2239"/>
      <c r="K125" s="2240"/>
      <c r="L125" s="115"/>
      <c r="M125" s="115"/>
      <c r="N125" s="115"/>
    </row>
    <row r="126" spans="1:14" ht="30" customHeight="1" x14ac:dyDescent="0.25">
      <c r="A126" s="115"/>
      <c r="B126" s="2374" t="s">
        <v>673</v>
      </c>
      <c r="C126" s="2375"/>
      <c r="D126" s="2375"/>
      <c r="E126" s="2375"/>
      <c r="F126" s="2375"/>
      <c r="G126" s="2375"/>
      <c r="H126" s="2375"/>
      <c r="I126" s="2375"/>
      <c r="J126" s="2375"/>
      <c r="K126" s="2376"/>
      <c r="L126" s="115"/>
      <c r="M126" s="115"/>
      <c r="N126" s="115"/>
    </row>
    <row r="127" spans="1:14" ht="18" customHeight="1" x14ac:dyDescent="0.25">
      <c r="A127" s="115"/>
      <c r="B127" s="115"/>
      <c r="C127" s="115"/>
      <c r="D127" s="115"/>
      <c r="E127" s="115"/>
      <c r="F127" s="115"/>
      <c r="G127" s="115"/>
      <c r="H127" s="115"/>
      <c r="I127" s="115"/>
      <c r="J127" s="115"/>
      <c r="K127" s="115"/>
      <c r="L127" s="115"/>
      <c r="M127" s="115"/>
      <c r="N127" s="115"/>
    </row>
    <row r="128" spans="1:14" ht="18" customHeight="1" x14ac:dyDescent="0.25">
      <c r="A128" s="115"/>
      <c r="B128" s="2380" t="s">
        <v>781</v>
      </c>
      <c r="C128" s="2380"/>
      <c r="D128" s="2380"/>
      <c r="E128" s="2380"/>
      <c r="F128" s="2380"/>
      <c r="G128" s="2380"/>
      <c r="H128" s="2380"/>
      <c r="I128" s="2380"/>
      <c r="J128" s="115"/>
      <c r="K128" s="115"/>
      <c r="L128" s="115"/>
      <c r="M128" s="115"/>
      <c r="N128" s="115"/>
    </row>
    <row r="129" spans="1:16" ht="13.5" customHeight="1" x14ac:dyDescent="0.25">
      <c r="A129" s="115"/>
      <c r="B129" s="115"/>
      <c r="C129" s="115"/>
      <c r="D129" s="115"/>
      <c r="E129" s="115"/>
      <c r="F129" s="115"/>
      <c r="G129" s="115"/>
      <c r="H129" s="115"/>
      <c r="I129" s="115"/>
      <c r="J129" s="115"/>
      <c r="K129" s="115"/>
      <c r="L129" s="115"/>
      <c r="M129" s="115"/>
      <c r="N129" s="115"/>
    </row>
    <row r="130" spans="1:16" ht="27" customHeight="1" x14ac:dyDescent="0.25">
      <c r="A130" s="115"/>
      <c r="B130" s="2363" t="s">
        <v>665</v>
      </c>
      <c r="C130" s="2364"/>
      <c r="D130" s="2364" t="s">
        <v>444</v>
      </c>
      <c r="E130" s="2364"/>
      <c r="F130" s="1258" t="s">
        <v>448</v>
      </c>
      <c r="G130" s="1258" t="s">
        <v>446</v>
      </c>
      <c r="H130" s="1258" t="s">
        <v>445</v>
      </c>
      <c r="I130" s="1259" t="s">
        <v>447</v>
      </c>
      <c r="J130" s="115"/>
      <c r="K130" s="115"/>
      <c r="L130" s="115"/>
      <c r="M130" s="115"/>
      <c r="N130" s="115"/>
    </row>
    <row r="131" spans="1:16" ht="18" customHeight="1" x14ac:dyDescent="0.25">
      <c r="A131" s="115"/>
      <c r="B131" s="2365"/>
      <c r="C131" s="2365"/>
      <c r="D131" s="2365" t="s">
        <v>53</v>
      </c>
      <c r="E131" s="2365"/>
      <c r="F131" s="495"/>
      <c r="G131" s="496" t="s">
        <v>53</v>
      </c>
      <c r="H131" s="497"/>
      <c r="I131" s="497"/>
      <c r="J131" s="115"/>
      <c r="K131" s="115"/>
      <c r="L131" s="115"/>
      <c r="M131" s="115"/>
      <c r="N131" s="115"/>
    </row>
    <row r="132" spans="1:16" ht="18" customHeight="1" x14ac:dyDescent="0.25">
      <c r="A132" s="115"/>
      <c r="B132" s="2373"/>
      <c r="C132" s="2373"/>
      <c r="D132" s="2373" t="s">
        <v>53</v>
      </c>
      <c r="E132" s="2373"/>
      <c r="F132" s="489"/>
      <c r="G132" s="490" t="s">
        <v>53</v>
      </c>
      <c r="H132" s="491"/>
      <c r="I132" s="491"/>
      <c r="J132" s="115"/>
      <c r="K132" s="115"/>
      <c r="L132" s="115"/>
      <c r="M132" s="115"/>
      <c r="N132" s="115"/>
    </row>
    <row r="133" spans="1:16" ht="18" customHeight="1" x14ac:dyDescent="0.25">
      <c r="A133" s="115"/>
      <c r="B133" s="2373"/>
      <c r="C133" s="2373"/>
      <c r="D133" s="2373" t="s">
        <v>53</v>
      </c>
      <c r="E133" s="2373"/>
      <c r="F133" s="489"/>
      <c r="G133" s="490" t="s">
        <v>53</v>
      </c>
      <c r="H133" s="491"/>
      <c r="I133" s="491"/>
      <c r="J133" s="115"/>
      <c r="K133" s="115"/>
      <c r="L133" s="115"/>
      <c r="M133" s="115"/>
      <c r="N133" s="115"/>
    </row>
    <row r="134" spans="1:16" ht="18" customHeight="1" x14ac:dyDescent="0.25">
      <c r="A134" s="115"/>
      <c r="B134" s="2373"/>
      <c r="C134" s="2373"/>
      <c r="D134" s="2373" t="s">
        <v>53</v>
      </c>
      <c r="E134" s="2373"/>
      <c r="F134" s="489"/>
      <c r="G134" s="490" t="s">
        <v>53</v>
      </c>
      <c r="H134" s="491"/>
      <c r="I134" s="491"/>
      <c r="J134" s="115"/>
      <c r="K134" s="115"/>
      <c r="L134" s="115"/>
      <c r="M134" s="115"/>
      <c r="N134" s="115"/>
    </row>
    <row r="135" spans="1:16" ht="18" customHeight="1" x14ac:dyDescent="0.25">
      <c r="A135" s="115"/>
      <c r="B135" s="2373"/>
      <c r="C135" s="2373"/>
      <c r="D135" s="2373" t="s">
        <v>53</v>
      </c>
      <c r="E135" s="2373"/>
      <c r="F135" s="489"/>
      <c r="G135" s="490" t="s">
        <v>53</v>
      </c>
      <c r="H135" s="491"/>
      <c r="I135" s="491"/>
      <c r="J135" s="115"/>
      <c r="K135" s="115"/>
      <c r="L135" s="115"/>
      <c r="M135" s="115"/>
      <c r="N135" s="115"/>
      <c r="O135" s="35" t="s">
        <v>666</v>
      </c>
      <c r="P135" s="35" t="str">
        <f>IF(COUNTIF(D131:E135,"Select")=5,"",IF((COUNTIF(D131:E135,"multi-split")+COUNTIF(D131:E135,"VRF"))&lt;&gt;0,"Yes","No"))</f>
        <v/>
      </c>
    </row>
    <row r="136" spans="1:16" ht="18" customHeight="1" x14ac:dyDescent="0.25">
      <c r="A136" s="115"/>
      <c r="B136" s="115"/>
      <c r="C136" s="115"/>
      <c r="D136" s="115"/>
      <c r="E136" s="115"/>
      <c r="F136" s="115"/>
      <c r="G136" s="115"/>
      <c r="H136" s="115"/>
      <c r="I136" s="115"/>
      <c r="J136" s="115"/>
      <c r="K136" s="115"/>
      <c r="L136" s="115"/>
      <c r="M136" s="115"/>
      <c r="N136" s="115"/>
    </row>
    <row r="137" spans="1:16" ht="30" customHeight="1" x14ac:dyDescent="0.25">
      <c r="A137" s="115"/>
      <c r="B137" s="2363" t="s">
        <v>449</v>
      </c>
      <c r="C137" s="2364"/>
      <c r="D137" s="2364" t="s">
        <v>444</v>
      </c>
      <c r="E137" s="2364"/>
      <c r="F137" s="1258" t="s">
        <v>448</v>
      </c>
      <c r="G137" s="1258" t="s">
        <v>446</v>
      </c>
      <c r="H137" s="1260" t="s">
        <v>452</v>
      </c>
      <c r="I137" s="1258" t="s">
        <v>445</v>
      </c>
      <c r="J137" s="1259" t="s">
        <v>447</v>
      </c>
      <c r="K137" s="115"/>
      <c r="L137" s="115"/>
      <c r="M137" s="115"/>
      <c r="N137" s="115"/>
    </row>
    <row r="138" spans="1:16" ht="15" customHeight="1" x14ac:dyDescent="0.25">
      <c r="A138" s="115"/>
      <c r="B138" s="2396"/>
      <c r="C138" s="2396"/>
      <c r="D138" s="2396" t="s">
        <v>53</v>
      </c>
      <c r="E138" s="2396"/>
      <c r="F138" s="492"/>
      <c r="G138" s="493" t="s">
        <v>53</v>
      </c>
      <c r="H138" s="494"/>
      <c r="I138" s="494"/>
      <c r="J138" s="494"/>
      <c r="K138" s="115"/>
      <c r="L138" s="115"/>
      <c r="M138" s="115"/>
      <c r="N138" s="115"/>
    </row>
    <row r="139" spans="1:16" ht="15" customHeight="1" x14ac:dyDescent="0.25">
      <c r="A139" s="115"/>
      <c r="B139" s="2360"/>
      <c r="C139" s="2360"/>
      <c r="D139" s="2360" t="s">
        <v>53</v>
      </c>
      <c r="E139" s="2360"/>
      <c r="F139" s="336"/>
      <c r="G139" s="337" t="s">
        <v>53</v>
      </c>
      <c r="H139" s="342"/>
      <c r="I139" s="342"/>
      <c r="J139" s="342"/>
      <c r="K139" s="115"/>
      <c r="L139" s="115"/>
      <c r="M139" s="115"/>
      <c r="N139" s="115"/>
    </row>
    <row r="140" spans="1:16" ht="15" customHeight="1" x14ac:dyDescent="0.25">
      <c r="A140" s="115"/>
      <c r="B140" s="2360"/>
      <c r="C140" s="2360"/>
      <c r="D140" s="2360" t="s">
        <v>53</v>
      </c>
      <c r="E140" s="2360"/>
      <c r="F140" s="336"/>
      <c r="G140" s="337" t="s">
        <v>53</v>
      </c>
      <c r="H140" s="342"/>
      <c r="I140" s="342"/>
      <c r="J140" s="342"/>
      <c r="K140" s="115"/>
      <c r="L140" s="115"/>
      <c r="M140" s="115"/>
      <c r="N140" s="115"/>
    </row>
    <row r="141" spans="1:16" ht="15" customHeight="1" x14ac:dyDescent="0.25">
      <c r="A141" s="115"/>
      <c r="B141" s="2360"/>
      <c r="C141" s="2360"/>
      <c r="D141" s="2360" t="s">
        <v>53</v>
      </c>
      <c r="E141" s="2360"/>
      <c r="F141" s="336"/>
      <c r="G141" s="337" t="s">
        <v>53</v>
      </c>
      <c r="H141" s="342"/>
      <c r="I141" s="342"/>
      <c r="J141" s="342"/>
      <c r="K141" s="115"/>
      <c r="L141" s="115"/>
      <c r="M141" s="115"/>
      <c r="N141" s="115"/>
    </row>
    <row r="142" spans="1:16" ht="15" customHeight="1" x14ac:dyDescent="0.25">
      <c r="A142" s="115"/>
      <c r="B142" s="2360"/>
      <c r="C142" s="2360"/>
      <c r="D142" s="2360" t="s">
        <v>53</v>
      </c>
      <c r="E142" s="2360"/>
      <c r="F142" s="336"/>
      <c r="G142" s="337" t="s">
        <v>53</v>
      </c>
      <c r="H142" s="342"/>
      <c r="I142" s="342"/>
      <c r="J142" s="342"/>
      <c r="K142" s="115"/>
      <c r="L142" s="115"/>
      <c r="M142" s="115"/>
      <c r="N142" s="115"/>
    </row>
    <row r="143" spans="1:16" ht="15" customHeight="1" x14ac:dyDescent="0.25">
      <c r="A143" s="115"/>
      <c r="B143" s="2360"/>
      <c r="C143" s="2360"/>
      <c r="D143" s="2360" t="s">
        <v>53</v>
      </c>
      <c r="E143" s="2360"/>
      <c r="F143" s="336"/>
      <c r="G143" s="337" t="s">
        <v>53</v>
      </c>
      <c r="H143" s="342"/>
      <c r="I143" s="342"/>
      <c r="J143" s="342"/>
      <c r="K143" s="115"/>
      <c r="L143" s="115"/>
      <c r="M143" s="115"/>
      <c r="N143" s="115"/>
    </row>
    <row r="144" spans="1:16" ht="15" customHeight="1" x14ac:dyDescent="0.25">
      <c r="A144" s="115"/>
      <c r="B144" s="2360"/>
      <c r="C144" s="2360"/>
      <c r="D144" s="2360" t="s">
        <v>53</v>
      </c>
      <c r="E144" s="2360"/>
      <c r="F144" s="336"/>
      <c r="G144" s="337" t="s">
        <v>53</v>
      </c>
      <c r="H144" s="342"/>
      <c r="I144" s="342"/>
      <c r="J144" s="342"/>
      <c r="K144" s="115"/>
      <c r="L144" s="115"/>
      <c r="M144" s="115"/>
      <c r="N144" s="115"/>
      <c r="O144" s="35" t="s">
        <v>666</v>
      </c>
      <c r="P144" s="35" t="str">
        <f>IF(COUNTIF(D138:E144,"Select")=7,"",IF(COUNTIF(D138:E144,"Centralised Direct Expansion system")&lt;&gt;0,"Yes","No"))</f>
        <v/>
      </c>
    </row>
    <row r="145" spans="1:15" ht="18" customHeight="1" x14ac:dyDescent="0.25">
      <c r="A145" s="115"/>
      <c r="B145" s="115"/>
      <c r="C145" s="115"/>
      <c r="D145" s="115"/>
      <c r="E145" s="115"/>
      <c r="F145" s="115"/>
      <c r="G145" s="115"/>
      <c r="H145" s="115"/>
      <c r="I145" s="115"/>
      <c r="J145" s="115"/>
      <c r="K145" s="115"/>
      <c r="L145" s="115"/>
      <c r="M145" s="115"/>
      <c r="N145" s="115"/>
    </row>
    <row r="146" spans="1:15" ht="19.5" customHeight="1" x14ac:dyDescent="0.25">
      <c r="A146" s="115"/>
      <c r="B146" s="2359" t="s">
        <v>451</v>
      </c>
      <c r="C146" s="2359"/>
      <c r="D146" s="2359"/>
      <c r="E146" s="341" t="str">
        <f>IF(AND(P135="",P144=""),"",IF(OR(P135="Yes",P144="Yes"),"No","Yes"))</f>
        <v/>
      </c>
      <c r="F146" s="115"/>
      <c r="G146" s="115"/>
      <c r="H146" s="343"/>
      <c r="I146" s="115"/>
      <c r="J146" s="115"/>
      <c r="K146" s="115"/>
      <c r="L146" s="115"/>
      <c r="M146" s="115"/>
      <c r="N146" s="115"/>
    </row>
    <row r="147" spans="1:15" ht="19.5" customHeight="1" x14ac:dyDescent="0.25">
      <c r="A147" s="115"/>
      <c r="B147" s="2359" t="s">
        <v>450</v>
      </c>
      <c r="C147" s="2359"/>
      <c r="D147" s="2359"/>
      <c r="E147" s="341" t="str">
        <f>IF(COUNTBLANK(I138:I144)=7,"",IF(COUNTBLANK(J138:J144)=7,"",IF(COUNTIF(I138:I144,"&gt;2000")&lt;&gt;0,"No",IF(COUNTIF(J138:J144,"&gt;0.02")&lt;&gt;0,"No","Yes"))))</f>
        <v/>
      </c>
      <c r="F147" s="115"/>
      <c r="G147" s="115"/>
      <c r="H147" s="115"/>
      <c r="I147" s="115"/>
      <c r="J147" s="115"/>
      <c r="K147" s="115"/>
      <c r="L147" s="115"/>
      <c r="M147" s="115"/>
      <c r="N147" s="115"/>
    </row>
    <row r="148" spans="1:15" ht="19.5" customHeight="1" x14ac:dyDescent="0.25">
      <c r="A148" s="115"/>
      <c r="B148" s="2359" t="s">
        <v>454</v>
      </c>
      <c r="C148" s="2359"/>
      <c r="D148" s="2359"/>
      <c r="E148" s="341" t="str">
        <f>IF(COUNTBLANK(H138:H144)=7,"",IF((SUMIF(G138:G144,"natural refrigerant",H138:H144)+SUMIF(G138:G144,"HFO",H138:H144))/(SUM(H138:H144))&gt;=0.5,"Yes","No"))</f>
        <v/>
      </c>
      <c r="F148" s="115"/>
      <c r="G148" s="115"/>
      <c r="H148" s="115"/>
      <c r="I148" s="115"/>
      <c r="J148" s="115"/>
      <c r="K148" s="115"/>
      <c r="L148" s="115"/>
      <c r="M148" s="115"/>
      <c r="N148" s="115"/>
    </row>
    <row r="149" spans="1:15" ht="19.5" customHeight="1" x14ac:dyDescent="0.25">
      <c r="A149" s="115"/>
      <c r="B149" s="2359" t="s">
        <v>453</v>
      </c>
      <c r="C149" s="2359"/>
      <c r="D149" s="2359"/>
      <c r="E149" s="341" t="str">
        <f>IF(COUNTIF(D138:E144,"select")=7,"",IF(COUNTIF(D138:E144,"indirect system")&gt;0,"Yes","No"))</f>
        <v/>
      </c>
      <c r="F149" s="115"/>
      <c r="G149" s="115"/>
      <c r="H149" s="115"/>
      <c r="I149" s="115"/>
      <c r="J149" s="115"/>
      <c r="K149" s="115"/>
      <c r="L149" s="115"/>
      <c r="M149" s="115"/>
      <c r="N149" s="115"/>
    </row>
    <row r="150" spans="1:15" ht="19.5" customHeight="1" x14ac:dyDescent="0.25">
      <c r="A150" s="115"/>
      <c r="B150" s="115"/>
      <c r="C150" s="115"/>
      <c r="D150" s="115"/>
      <c r="E150" s="115"/>
      <c r="F150" s="115"/>
      <c r="G150" s="115"/>
      <c r="H150" s="115"/>
      <c r="I150" s="115"/>
      <c r="J150" s="115"/>
      <c r="K150" s="115"/>
      <c r="L150" s="115"/>
      <c r="M150" s="115"/>
      <c r="N150" s="115"/>
    </row>
    <row r="151" spans="1:15" ht="16.5" customHeight="1" x14ac:dyDescent="0.25">
      <c r="A151" s="2317" t="s">
        <v>84</v>
      </c>
      <c r="B151" s="2317"/>
      <c r="C151" s="2317"/>
      <c r="D151" s="115"/>
      <c r="E151" s="115"/>
      <c r="F151" s="115"/>
      <c r="G151" s="115"/>
      <c r="H151" s="115"/>
      <c r="I151" s="115"/>
      <c r="J151" s="115"/>
      <c r="K151" s="115"/>
      <c r="L151" s="115"/>
      <c r="M151" s="115"/>
      <c r="N151" s="115"/>
    </row>
    <row r="152" spans="1:15" x14ac:dyDescent="0.25">
      <c r="A152" s="115"/>
      <c r="B152" s="115"/>
      <c r="C152" s="115"/>
      <c r="D152" s="115"/>
      <c r="E152" s="115"/>
      <c r="F152" s="115"/>
      <c r="G152" s="115"/>
      <c r="H152" s="115"/>
      <c r="I152" s="115"/>
      <c r="J152" s="115"/>
      <c r="K152" s="115"/>
      <c r="L152" s="115"/>
      <c r="M152" s="115"/>
      <c r="N152" s="115"/>
    </row>
    <row r="153" spans="1:15" ht="21" customHeight="1" x14ac:dyDescent="0.25">
      <c r="A153" s="115"/>
      <c r="B153" s="2322" t="s">
        <v>85</v>
      </c>
      <c r="C153" s="2323"/>
      <c r="D153" s="2323"/>
      <c r="E153" s="2323"/>
      <c r="F153" s="2323"/>
      <c r="G153" s="2323"/>
      <c r="H153" s="1228" t="s">
        <v>907</v>
      </c>
      <c r="I153" s="2324" t="s">
        <v>908</v>
      </c>
      <c r="J153" s="2325"/>
      <c r="K153" s="115"/>
      <c r="L153" s="115"/>
      <c r="M153" s="115"/>
      <c r="N153" s="115"/>
    </row>
    <row r="154" spans="1:15" ht="24" customHeight="1" x14ac:dyDescent="0.25">
      <c r="A154" s="115"/>
      <c r="B154" s="1648" t="str">
        <f>Submittals!G135</f>
        <v>• Manufacturer’s published data indicating the proposed types of systems with the type and volume of refrigerants used</v>
      </c>
      <c r="C154" s="1649"/>
      <c r="D154" s="1649"/>
      <c r="E154" s="1649"/>
      <c r="F154" s="1649"/>
      <c r="G154" s="1650"/>
      <c r="H154" s="614" t="s">
        <v>53</v>
      </c>
      <c r="I154" s="1689"/>
      <c r="J154" s="1690"/>
      <c r="K154" s="115"/>
      <c r="L154" s="115"/>
      <c r="M154" s="115"/>
      <c r="N154" s="115"/>
      <c r="O154" s="35" t="str">
        <f>IF(OR(B154="/",B154="No evidence required at this submission stage"),"Yes",IF(H154="Submitted","Yes","No"))</f>
        <v>No</v>
      </c>
    </row>
    <row r="155" spans="1:15" ht="24" customHeight="1" x14ac:dyDescent="0.25">
      <c r="A155" s="115"/>
      <c r="B155" s="1648" t="str">
        <f>Submittals!G136</f>
        <v>• Evidence of the HVAC/R equipment installed, such as photographs, invoices, receipts, commissioning report, etc.</v>
      </c>
      <c r="C155" s="1649"/>
      <c r="D155" s="1649"/>
      <c r="E155" s="1649"/>
      <c r="F155" s="1649"/>
      <c r="G155" s="1650"/>
      <c r="H155" s="614" t="s">
        <v>53</v>
      </c>
      <c r="I155" s="1741"/>
      <c r="J155" s="1742"/>
      <c r="K155" s="115"/>
      <c r="L155" s="115"/>
      <c r="M155" s="115"/>
      <c r="N155" s="115"/>
      <c r="O155" s="35" t="str">
        <f>IF(OR(B155="/",B155="No evidence required at this submission stage"),"Yes",IF(H155="Submitted","Yes","No"))</f>
        <v>No</v>
      </c>
    </row>
    <row r="156" spans="1:15" ht="16.5" customHeight="1" x14ac:dyDescent="0.25">
      <c r="A156" s="115"/>
      <c r="B156" s="119"/>
      <c r="C156" s="119"/>
      <c r="D156" s="119"/>
      <c r="E156" s="119"/>
      <c r="F156" s="115"/>
      <c r="G156" s="115"/>
      <c r="H156" s="115"/>
      <c r="I156" s="115"/>
      <c r="J156" s="115"/>
      <c r="K156" s="115"/>
      <c r="L156" s="115"/>
      <c r="M156" s="338"/>
      <c r="N156" s="338"/>
    </row>
    <row r="157" spans="1:15" ht="16.5" customHeight="1" x14ac:dyDescent="0.25">
      <c r="A157" s="2317" t="s">
        <v>5</v>
      </c>
      <c r="B157" s="2317"/>
      <c r="C157" s="2317"/>
      <c r="D157" s="115"/>
      <c r="E157" s="115"/>
      <c r="F157" s="115"/>
      <c r="G157" s="115"/>
      <c r="H157" s="115"/>
      <c r="I157" s="115"/>
      <c r="J157" s="115"/>
      <c r="K157" s="115"/>
      <c r="L157" s="115"/>
      <c r="M157" s="115"/>
      <c r="N157" s="115"/>
    </row>
    <row r="158" spans="1:15" x14ac:dyDescent="0.25">
      <c r="A158" s="119"/>
      <c r="B158" s="119"/>
      <c r="C158" s="119"/>
      <c r="D158" s="119"/>
      <c r="E158" s="119"/>
      <c r="F158" s="115"/>
      <c r="G158" s="115"/>
      <c r="H158" s="115"/>
      <c r="I158" s="115"/>
      <c r="J158" s="115"/>
      <c r="K158" s="115"/>
      <c r="L158" s="115"/>
      <c r="M158" s="115"/>
      <c r="N158" s="115"/>
    </row>
    <row r="159" spans="1:15" ht="18" customHeight="1" x14ac:dyDescent="0.25">
      <c r="A159" s="115"/>
      <c r="B159" s="1256" t="s">
        <v>16</v>
      </c>
      <c r="C159" s="8">
        <f>IF(COUNTIF(E146:E149,"Yes")&gt;=2,1,0)</f>
        <v>0</v>
      </c>
      <c r="D159" s="119"/>
      <c r="E159" s="115"/>
      <c r="F159" s="115"/>
      <c r="G159" s="115"/>
      <c r="H159" s="115"/>
      <c r="I159" s="115"/>
      <c r="J159" s="115"/>
      <c r="K159" s="115"/>
      <c r="L159" s="115"/>
      <c r="M159" s="115"/>
      <c r="N159" s="115"/>
    </row>
    <row r="160" spans="1:15" ht="18" customHeight="1" x14ac:dyDescent="0.25">
      <c r="A160" s="115"/>
      <c r="B160" s="1256" t="s">
        <v>133</v>
      </c>
      <c r="C160" s="108" t="str">
        <f>IF(AND(COUNTIF(O154:O155,"Yes")=2,C159&gt;0),"Yes","No")</f>
        <v>No</v>
      </c>
      <c r="D160" s="119"/>
      <c r="E160" s="115"/>
      <c r="F160" s="115"/>
      <c r="G160" s="115"/>
      <c r="H160" s="115"/>
      <c r="I160" s="115"/>
      <c r="J160" s="115"/>
      <c r="K160" s="115"/>
      <c r="L160" s="115"/>
      <c r="M160" s="115"/>
      <c r="N160" s="115"/>
    </row>
    <row r="161" spans="1:14" x14ac:dyDescent="0.25">
      <c r="A161" s="115"/>
      <c r="B161" s="119"/>
      <c r="C161" s="119"/>
      <c r="D161" s="119"/>
      <c r="E161" s="119"/>
      <c r="F161" s="115"/>
      <c r="G161" s="115"/>
      <c r="H161" s="115"/>
      <c r="I161" s="115"/>
      <c r="J161" s="115"/>
      <c r="K161" s="115"/>
      <c r="L161" s="115"/>
      <c r="M161" s="115"/>
      <c r="N161" s="115"/>
    </row>
    <row r="162" spans="1:14" ht="15" hidden="1" customHeight="1" x14ac:dyDescent="0.25"/>
    <row r="163" spans="1:14" ht="15" hidden="1" customHeight="1" x14ac:dyDescent="0.25"/>
    <row r="164" spans="1:14" ht="15" hidden="1" customHeight="1" x14ac:dyDescent="0.25"/>
    <row r="165" spans="1:14" ht="15" hidden="1" customHeight="1" x14ac:dyDescent="0.25"/>
    <row r="166" spans="1:14" ht="15" hidden="1" customHeight="1" x14ac:dyDescent="0.25"/>
    <row r="167" spans="1:14" ht="15" hidden="1" customHeight="1" x14ac:dyDescent="0.25"/>
    <row r="168" spans="1:14" ht="15" hidden="1" customHeight="1" x14ac:dyDescent="0.25"/>
    <row r="169" spans="1:14" ht="15" hidden="1" customHeight="1" x14ac:dyDescent="0.25"/>
    <row r="170" spans="1:14" ht="15" hidden="1" customHeight="1" x14ac:dyDescent="0.25"/>
    <row r="171" spans="1:14" ht="15" hidden="1" customHeight="1" x14ac:dyDescent="0.25"/>
    <row r="172" spans="1:14" ht="15" hidden="1" customHeight="1" x14ac:dyDescent="0.25"/>
  </sheetData>
  <sheetProtection algorithmName="SHA-512" hashValue="ymlUP/VOaHjdDp6ZAtKBUdX4HpO5OJ2B7bb0tHtVDh+bkpuVsREJi5cycjRhC00QlKUoedmOMijtVXhNIipvXg==" saltValue="yYvM9ROBB1CXlsYLt1oAVQ==" spinCount="100000" sheet="1" objects="1" scenarios="1" formatRows="0"/>
  <mergeCells count="115">
    <mergeCell ref="I2:L4"/>
    <mergeCell ref="I104:J104"/>
    <mergeCell ref="I105:J105"/>
    <mergeCell ref="I106:J106"/>
    <mergeCell ref="I153:J153"/>
    <mergeCell ref="I154:J154"/>
    <mergeCell ref="A151:C151"/>
    <mergeCell ref="B124:K124"/>
    <mergeCell ref="B125:K125"/>
    <mergeCell ref="B138:C138"/>
    <mergeCell ref="B139:C139"/>
    <mergeCell ref="B135:C135"/>
    <mergeCell ref="D135:E135"/>
    <mergeCell ref="B146:D146"/>
    <mergeCell ref="B141:C141"/>
    <mergeCell ref="D137:E137"/>
    <mergeCell ref="D138:E138"/>
    <mergeCell ref="D139:E139"/>
    <mergeCell ref="D140:E140"/>
    <mergeCell ref="D141:E141"/>
    <mergeCell ref="B11:C11"/>
    <mergeCell ref="D11:E11"/>
    <mergeCell ref="B13:G13"/>
    <mergeCell ref="B14:G14"/>
    <mergeCell ref="B16:G16"/>
    <mergeCell ref="B39:E39"/>
    <mergeCell ref="B40:E40"/>
    <mergeCell ref="A28:C28"/>
    <mergeCell ref="B134:C134"/>
    <mergeCell ref="D134:E134"/>
    <mergeCell ref="B132:C132"/>
    <mergeCell ref="B140:C140"/>
    <mergeCell ref="D132:E132"/>
    <mergeCell ref="B133:C133"/>
    <mergeCell ref="B106:G106"/>
    <mergeCell ref="B49:G49"/>
    <mergeCell ref="B128:I128"/>
    <mergeCell ref="B37:E37"/>
    <mergeCell ref="B20:M20"/>
    <mergeCell ref="I40:J40"/>
    <mergeCell ref="B30:K30"/>
    <mergeCell ref="B31:K31"/>
    <mergeCell ref="B32:K32"/>
    <mergeCell ref="B33:K33"/>
    <mergeCell ref="B23:M23"/>
    <mergeCell ref="B21:M21"/>
    <mergeCell ref="B24:M24"/>
    <mergeCell ref="I47:J47"/>
    <mergeCell ref="A157:C157"/>
    <mergeCell ref="B100:D100"/>
    <mergeCell ref="A113:N113"/>
    <mergeCell ref="B154:G154"/>
    <mergeCell ref="A59:C59"/>
    <mergeCell ref="A73:C73"/>
    <mergeCell ref="I48:J48"/>
    <mergeCell ref="I49:J49"/>
    <mergeCell ref="I155:J155"/>
    <mergeCell ref="B155:G155"/>
    <mergeCell ref="B153:G153"/>
    <mergeCell ref="B137:C137"/>
    <mergeCell ref="D133:E133"/>
    <mergeCell ref="B104:G104"/>
    <mergeCell ref="B89:C89"/>
    <mergeCell ref="B126:K126"/>
    <mergeCell ref="B95:C95"/>
    <mergeCell ref="B96:C96"/>
    <mergeCell ref="B69:J69"/>
    <mergeCell ref="B70:J70"/>
    <mergeCell ref="B71:J71"/>
    <mergeCell ref="B68:J68"/>
    <mergeCell ref="B50:G50"/>
    <mergeCell ref="I50:J50"/>
    <mergeCell ref="A1:N1"/>
    <mergeCell ref="A9:N9"/>
    <mergeCell ref="A18:N18"/>
    <mergeCell ref="A26:N26"/>
    <mergeCell ref="A57:N57"/>
    <mergeCell ref="B41:E41"/>
    <mergeCell ref="B48:G48"/>
    <mergeCell ref="B105:G105"/>
    <mergeCell ref="B47:G47"/>
    <mergeCell ref="B66:E66"/>
    <mergeCell ref="B85:C85"/>
    <mergeCell ref="B86:C86"/>
    <mergeCell ref="B98:C98"/>
    <mergeCell ref="B93:C93"/>
    <mergeCell ref="B97:C97"/>
    <mergeCell ref="B94:C94"/>
    <mergeCell ref="B90:C90"/>
    <mergeCell ref="B91:C91"/>
    <mergeCell ref="B92:C92"/>
    <mergeCell ref="B87:C87"/>
    <mergeCell ref="B88:C88"/>
    <mergeCell ref="A102:C102"/>
    <mergeCell ref="A5:N7"/>
    <mergeCell ref="B15:G15"/>
    <mergeCell ref="B22:M22"/>
    <mergeCell ref="B147:D147"/>
    <mergeCell ref="B148:D148"/>
    <mergeCell ref="B149:D149"/>
    <mergeCell ref="B142:C142"/>
    <mergeCell ref="D142:E142"/>
    <mergeCell ref="B143:C143"/>
    <mergeCell ref="D143:E143"/>
    <mergeCell ref="B144:C144"/>
    <mergeCell ref="D144:E144"/>
    <mergeCell ref="G40:H40"/>
    <mergeCell ref="A45:C45"/>
    <mergeCell ref="A52:C52"/>
    <mergeCell ref="A108:C108"/>
    <mergeCell ref="A115:C115"/>
    <mergeCell ref="B130:C130"/>
    <mergeCell ref="D130:E130"/>
    <mergeCell ref="B131:C131"/>
    <mergeCell ref="D131:E131"/>
  </mergeCells>
  <conditionalFormatting sqref="H48:J49">
    <cfRule type="expression" dxfId="98" priority="7">
      <formula>$B48="/"</formula>
    </cfRule>
    <cfRule type="expression" dxfId="97" priority="8">
      <formula>$B48="No evidence required at this submission stage"</formula>
    </cfRule>
  </conditionalFormatting>
  <conditionalFormatting sqref="H105:J106">
    <cfRule type="expression" dxfId="96" priority="5">
      <formula>$B105="/"</formula>
    </cfRule>
    <cfRule type="expression" dxfId="95" priority="6">
      <formula>$B105="No evidence required at this submission stage"</formula>
    </cfRule>
  </conditionalFormatting>
  <conditionalFormatting sqref="H154:J155">
    <cfRule type="expression" dxfId="94" priority="3">
      <formula>$B154="/"</formula>
    </cfRule>
    <cfRule type="expression" dxfId="93" priority="4">
      <formula>$B154="No evidence required at this submission stage"</formula>
    </cfRule>
  </conditionalFormatting>
  <conditionalFormatting sqref="H50:J50">
    <cfRule type="expression" dxfId="92" priority="1">
      <formula>$B50="/"</formula>
    </cfRule>
    <cfRule type="expression" dxfId="91" priority="2">
      <formula>$B50="No evidence required at this submission stage"</formula>
    </cfRule>
  </conditionalFormatting>
  <dataValidations count="7">
    <dataValidation type="list" allowBlank="1" showInputMessage="1" showErrorMessage="1" sqref="F66 F37 F39:F41" xr:uid="{00000000-0002-0000-1C00-000000000000}">
      <formula1>"Select,Yes,No"</formula1>
    </dataValidation>
    <dataValidation type="list" allowBlank="1" showInputMessage="1" showErrorMessage="1" sqref="G138:G144 G131:G135" xr:uid="{00000000-0002-0000-1C00-000001000000}">
      <formula1>"Select,Natural refrigerant,HFO,HFC,HCFC"</formula1>
    </dataValidation>
    <dataValidation type="list" allowBlank="1" showInputMessage="1" showErrorMessage="1" sqref="D138:E144" xr:uid="{00000000-0002-0000-1C00-000002000000}">
      <formula1>"Select,Centralised Direct Expansion system,Distributed Direct Expansion system,Cascade system,Indirect system,other"</formula1>
    </dataValidation>
    <dataValidation type="list" allowBlank="1" showInputMessage="1" showErrorMessage="1" sqref="D131:E135" xr:uid="{00000000-0002-0000-1C00-000003000000}">
      <formula1>"Select,single-split,multi-split,VRF,packaged unit,chiller"</formula1>
    </dataValidation>
    <dataValidation allowBlank="1" showInputMessage="1" showErrorMessage="1" prompt="Different air-conditiong model can be put together if they have the same system type and the same refrigerants" sqref="B131:C131 B133:C133" xr:uid="{00000000-0002-0000-1C00-000004000000}"/>
    <dataValidation type="list" allowBlank="1" showInputMessage="1" showErrorMessage="1" sqref="D11:E11" xr:uid="{00000000-0002-0000-1C00-000005000000}">
      <formula1>"Select,Option A, Option B,Option C"</formula1>
    </dataValidation>
    <dataValidation type="list" allowBlank="1" showInputMessage="1" showErrorMessage="1" sqref="H154:H155 H105:H106 H48:H50" xr:uid="{00000000-0002-0000-1C00-000006000000}">
      <formula1>"Select,Submitted,Not submitted"</formula1>
    </dataValidation>
  </dataValidations>
  <hyperlinks>
    <hyperlink ref="N3" location="'SE-BPC'!B3" tooltip="SE-BPC" display="SE-BPC" xr:uid="{AA70C6FE-2EDD-4C4B-AA9A-A02F56AC2F3D}"/>
    <hyperlink ref="M2" location="'SE-1 Base building '!B3" tooltip="SE-1" display="SE-1" xr:uid="{6EE6FE93-8C55-4B7B-800F-4515F42B1BCF}"/>
    <hyperlink ref="M3" location="'SE-2 Tenancy lease'!B3" tooltip="SE-2" display="SE-2" xr:uid="{C3D92D78-9C67-4CD2-A6B9-E9BD1308AC56}"/>
    <hyperlink ref="M4" location="'SE-3 Green Transportation '!B3" tooltip="SE-3" display="SE-3" xr:uid="{8F467F7A-13C0-4AEA-A39C-13318175BE0F}"/>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76923C"/>
  </sheetPr>
  <dimension ref="A1:P130"/>
  <sheetViews>
    <sheetView showGridLines="0" showRowColHeaders="0" workbookViewId="0">
      <pane ySplit="8" topLeftCell="A9" activePane="bottomLeft" state="frozen"/>
      <selection activeCell="I2" sqref="I2:J4"/>
      <selection pane="bottomLeft" activeCell="A8" sqref="A8"/>
    </sheetView>
  </sheetViews>
  <sheetFormatPr defaultColWidth="0" defaultRowHeight="15" customHeight="1" zeroHeight="1" x14ac:dyDescent="0.25"/>
  <cols>
    <col min="1" max="1" width="3.7109375" style="35" customWidth="1"/>
    <col min="2" max="2" width="18.42578125" style="35" customWidth="1"/>
    <col min="3" max="3" width="18.7109375" style="35" customWidth="1"/>
    <col min="4" max="5" width="18.42578125" style="35" customWidth="1"/>
    <col min="6" max="6" width="18" style="35" customWidth="1"/>
    <col min="7" max="7" width="19.5703125" style="35" customWidth="1"/>
    <col min="8" max="8" width="20.140625" style="35" customWidth="1"/>
    <col min="9" max="9" width="10.28515625" style="35" customWidth="1"/>
    <col min="10" max="11" width="11.140625" style="35" customWidth="1"/>
    <col min="12" max="12" width="7.5703125" style="35" customWidth="1"/>
    <col min="13" max="13" width="8.7109375" style="35" customWidth="1"/>
    <col min="14" max="14" width="9.140625" style="35" hidden="1" customWidth="1"/>
    <col min="15" max="15" width="23.7109375" style="35" hidden="1" customWidth="1"/>
    <col min="16" max="16" width="15.28515625" style="35" hidden="1" customWidth="1"/>
    <col min="17" max="16384" width="9.140625" style="35" hidden="1"/>
  </cols>
  <sheetData>
    <row r="1" spans="1:13" ht="24" customHeight="1" x14ac:dyDescent="0.25">
      <c r="A1" s="2310" t="s">
        <v>2303</v>
      </c>
      <c r="B1" s="2310"/>
      <c r="C1" s="2310"/>
      <c r="D1" s="2310"/>
      <c r="E1" s="2310"/>
      <c r="F1" s="2310"/>
      <c r="G1" s="2310"/>
      <c r="H1" s="2310"/>
      <c r="I1" s="2310"/>
      <c r="J1" s="2310"/>
      <c r="K1" s="2310"/>
      <c r="L1" s="2310"/>
      <c r="M1" s="2310"/>
    </row>
    <row r="2" spans="1:13" ht="15" customHeight="1" x14ac:dyDescent="0.25">
      <c r="A2" s="45"/>
      <c r="B2" s="46"/>
      <c r="C2" s="46"/>
      <c r="D2" s="46"/>
      <c r="E2" s="46"/>
      <c r="F2" s="45"/>
      <c r="G2" s="45"/>
      <c r="H2" s="45"/>
      <c r="I2" s="1753" t="s">
        <v>2294</v>
      </c>
      <c r="J2" s="1753"/>
      <c r="K2" s="1753"/>
      <c r="L2" s="130" t="s">
        <v>2295</v>
      </c>
      <c r="M2" s="130"/>
    </row>
    <row r="3" spans="1:13" ht="15" customHeight="1" x14ac:dyDescent="0.25">
      <c r="A3" s="45"/>
      <c r="B3" s="46"/>
      <c r="C3" s="46"/>
      <c r="D3" s="46"/>
      <c r="E3" s="46"/>
      <c r="F3" s="45"/>
      <c r="G3" s="45"/>
      <c r="H3" s="45"/>
      <c r="I3" s="1753"/>
      <c r="J3" s="1753"/>
      <c r="K3" s="1753"/>
      <c r="L3" s="130" t="s">
        <v>2312</v>
      </c>
      <c r="M3" s="130" t="s">
        <v>2311</v>
      </c>
    </row>
    <row r="4" spans="1:13" ht="15" customHeight="1" x14ac:dyDescent="0.25">
      <c r="A4" s="45"/>
      <c r="B4" s="46"/>
      <c r="C4" s="46"/>
      <c r="D4" s="46"/>
      <c r="E4" s="46"/>
      <c r="F4" s="45"/>
      <c r="G4" s="45"/>
      <c r="H4" s="45"/>
      <c r="I4" s="1850"/>
      <c r="J4" s="1850"/>
      <c r="K4" s="1850"/>
      <c r="L4" s="130" t="s">
        <v>2313</v>
      </c>
      <c r="M4" s="130"/>
    </row>
    <row r="5" spans="1:13" ht="16.5" customHeight="1" x14ac:dyDescent="0.25">
      <c r="A5" s="1851" t="s">
        <v>2645</v>
      </c>
      <c r="B5" s="1852"/>
      <c r="C5" s="1852"/>
      <c r="D5" s="1852"/>
      <c r="E5" s="1852"/>
      <c r="F5" s="1852"/>
      <c r="G5" s="1852"/>
      <c r="H5" s="1852"/>
      <c r="I5" s="1852"/>
      <c r="J5" s="1852"/>
      <c r="K5" s="1852"/>
      <c r="L5" s="1852"/>
      <c r="M5" s="1853"/>
    </row>
    <row r="6" spans="1:13" ht="16.5" customHeight="1" x14ac:dyDescent="0.25">
      <c r="A6" s="2320"/>
      <c r="B6" s="1660"/>
      <c r="C6" s="1660"/>
      <c r="D6" s="1660"/>
      <c r="E6" s="1660"/>
      <c r="F6" s="1660"/>
      <c r="G6" s="1660"/>
      <c r="H6" s="1660"/>
      <c r="I6" s="1660"/>
      <c r="J6" s="1660"/>
      <c r="K6" s="1660"/>
      <c r="L6" s="1660"/>
      <c r="M6" s="2321"/>
    </row>
    <row r="7" spans="1:13" ht="16.5" customHeight="1" x14ac:dyDescent="0.25">
      <c r="A7" s="1854"/>
      <c r="B7" s="1855"/>
      <c r="C7" s="1855"/>
      <c r="D7" s="1855"/>
      <c r="E7" s="1855"/>
      <c r="F7" s="1855"/>
      <c r="G7" s="1855"/>
      <c r="H7" s="1855"/>
      <c r="I7" s="1855"/>
      <c r="J7" s="1855"/>
      <c r="K7" s="1855"/>
      <c r="L7" s="1855"/>
      <c r="M7" s="1856"/>
    </row>
    <row r="8" spans="1:13" ht="12" customHeight="1" x14ac:dyDescent="0.25">
      <c r="A8" s="46"/>
      <c r="B8" s="46"/>
      <c r="C8" s="46"/>
      <c r="D8" s="46"/>
      <c r="E8" s="46"/>
      <c r="F8" s="45"/>
      <c r="G8" s="45"/>
      <c r="H8" s="45"/>
      <c r="I8" s="45"/>
      <c r="J8" s="45"/>
      <c r="K8" s="45"/>
      <c r="L8" s="45"/>
      <c r="M8" s="45"/>
    </row>
    <row r="9" spans="1:13" ht="18" customHeight="1" x14ac:dyDescent="0.25">
      <c r="A9" s="2311" t="s">
        <v>82</v>
      </c>
      <c r="B9" s="2311"/>
      <c r="C9" s="2311"/>
      <c r="D9" s="2311"/>
      <c r="E9" s="2311"/>
      <c r="F9" s="2311"/>
      <c r="G9" s="2311"/>
      <c r="H9" s="2311"/>
      <c r="I9" s="2311"/>
      <c r="J9" s="2311"/>
      <c r="K9" s="2311"/>
      <c r="L9" s="2311"/>
      <c r="M9" s="2311"/>
    </row>
    <row r="10" spans="1:13" ht="15.75" customHeight="1" x14ac:dyDescent="0.25">
      <c r="A10" s="45"/>
      <c r="B10" s="46"/>
      <c r="C10" s="46"/>
      <c r="D10" s="46"/>
      <c r="E10" s="46"/>
      <c r="F10" s="45"/>
      <c r="G10" s="45"/>
      <c r="H10" s="45"/>
      <c r="I10" s="45"/>
      <c r="J10" s="45"/>
      <c r="K10" s="45"/>
      <c r="L10" s="45"/>
      <c r="M10" s="45"/>
    </row>
    <row r="11" spans="1:13" ht="21" customHeight="1" x14ac:dyDescent="0.25">
      <c r="A11" s="45"/>
      <c r="B11" s="2335" t="s">
        <v>83</v>
      </c>
      <c r="C11" s="2336"/>
      <c r="D11" s="2336"/>
      <c r="E11" s="2336"/>
      <c r="F11" s="443" t="s">
        <v>64</v>
      </c>
      <c r="G11" s="443" t="s">
        <v>16</v>
      </c>
      <c r="H11" s="50" t="s">
        <v>133</v>
      </c>
      <c r="I11" s="45"/>
      <c r="J11" s="45"/>
      <c r="K11" s="45"/>
      <c r="L11" s="45"/>
      <c r="M11" s="45"/>
    </row>
    <row r="12" spans="1:13" ht="21" customHeight="1" x14ac:dyDescent="0.25">
      <c r="A12" s="45"/>
      <c r="B12" s="1797" t="s">
        <v>715</v>
      </c>
      <c r="C12" s="1798"/>
      <c r="D12" s="1798"/>
      <c r="E12" s="1799"/>
      <c r="F12" s="281">
        <v>1</v>
      </c>
      <c r="G12" s="281">
        <f>C42</f>
        <v>0</v>
      </c>
      <c r="H12" s="281" t="str">
        <f>C43</f>
        <v>No</v>
      </c>
      <c r="I12" s="45"/>
      <c r="J12" s="45"/>
      <c r="K12" s="45"/>
      <c r="L12" s="45"/>
      <c r="M12" s="45"/>
    </row>
    <row r="13" spans="1:13" ht="18.75" customHeight="1" x14ac:dyDescent="0.25">
      <c r="A13" s="45"/>
      <c r="B13" s="46"/>
      <c r="C13" s="46"/>
      <c r="D13" s="46"/>
      <c r="E13" s="46"/>
      <c r="F13" s="45"/>
      <c r="G13" s="45"/>
      <c r="H13" s="45"/>
      <c r="I13" s="45"/>
      <c r="J13" s="45"/>
      <c r="K13" s="45"/>
      <c r="L13" s="45"/>
      <c r="M13" s="45"/>
    </row>
    <row r="14" spans="1:13" ht="18" customHeight="1" x14ac:dyDescent="0.25">
      <c r="A14" s="2311" t="s">
        <v>102</v>
      </c>
      <c r="B14" s="2311"/>
      <c r="C14" s="2311"/>
      <c r="D14" s="2311"/>
      <c r="E14" s="2311"/>
      <c r="F14" s="2311"/>
      <c r="G14" s="2311"/>
      <c r="H14" s="2311"/>
      <c r="I14" s="2311"/>
      <c r="J14" s="2311"/>
      <c r="K14" s="2311"/>
      <c r="L14" s="2311"/>
      <c r="M14" s="2311"/>
    </row>
    <row r="15" spans="1:13" x14ac:dyDescent="0.25">
      <c r="A15" s="45"/>
      <c r="B15" s="46"/>
      <c r="C15" s="46"/>
      <c r="D15" s="46"/>
      <c r="E15" s="46"/>
      <c r="F15" s="45"/>
      <c r="G15" s="45"/>
      <c r="H15" s="45"/>
      <c r="I15" s="45"/>
      <c r="J15" s="45"/>
      <c r="K15" s="45"/>
      <c r="L15" s="45"/>
      <c r="M15" s="45"/>
    </row>
    <row r="16" spans="1:13" x14ac:dyDescent="0.25">
      <c r="A16" s="45"/>
      <c r="B16" s="565" t="s">
        <v>716</v>
      </c>
      <c r="C16" s="46"/>
      <c r="D16" s="46"/>
      <c r="E16" s="46"/>
      <c r="F16" s="45"/>
      <c r="G16" s="45"/>
      <c r="H16" s="45"/>
      <c r="I16" s="45"/>
      <c r="J16" s="45"/>
      <c r="K16" s="45"/>
      <c r="L16" s="45"/>
      <c r="M16" s="45"/>
    </row>
    <row r="17" spans="1:14" ht="12" customHeight="1" x14ac:dyDescent="0.25">
      <c r="A17" s="45"/>
      <c r="B17" s="112"/>
      <c r="C17" s="46"/>
      <c r="D17" s="46"/>
      <c r="E17" s="46"/>
      <c r="F17" s="45"/>
      <c r="G17" s="45"/>
      <c r="H17" s="45"/>
      <c r="I17" s="45"/>
      <c r="J17" s="45"/>
      <c r="K17" s="45"/>
      <c r="L17" s="45"/>
      <c r="M17" s="45"/>
    </row>
    <row r="18" spans="1:14" ht="13.5" customHeight="1" x14ac:dyDescent="0.25">
      <c r="A18" s="45"/>
      <c r="B18" s="112"/>
      <c r="C18" s="46"/>
      <c r="D18" s="46"/>
      <c r="E18" s="46"/>
      <c r="F18" s="45"/>
      <c r="G18" s="45"/>
      <c r="H18" s="45"/>
      <c r="I18" s="45"/>
      <c r="J18" s="45"/>
      <c r="K18" s="45"/>
      <c r="L18" s="45"/>
      <c r="M18" s="45"/>
    </row>
    <row r="19" spans="1:14" x14ac:dyDescent="0.25">
      <c r="A19" s="45"/>
      <c r="B19" s="535" t="s">
        <v>1032</v>
      </c>
      <c r="C19" s="46"/>
      <c r="D19" s="46"/>
      <c r="E19" s="46"/>
      <c r="F19" s="45"/>
      <c r="G19" s="45"/>
      <c r="H19" s="45"/>
      <c r="I19" s="45"/>
      <c r="J19" s="45"/>
      <c r="K19" s="45"/>
      <c r="L19" s="45"/>
      <c r="M19" s="45"/>
    </row>
    <row r="20" spans="1:14" ht="14.25" customHeight="1" x14ac:dyDescent="0.25">
      <c r="A20" s="45"/>
      <c r="B20" s="112"/>
      <c r="C20" s="46"/>
      <c r="D20" s="46"/>
      <c r="E20" s="46"/>
      <c r="F20" s="45"/>
      <c r="G20" s="45"/>
      <c r="H20" s="45"/>
      <c r="I20" s="45"/>
      <c r="J20" s="45"/>
      <c r="K20" s="45"/>
      <c r="L20" s="45"/>
      <c r="M20" s="45"/>
    </row>
    <row r="21" spans="1:14" ht="18" customHeight="1" x14ac:dyDescent="0.25">
      <c r="A21" s="45"/>
      <c r="B21" s="2326" t="s">
        <v>957</v>
      </c>
      <c r="C21" s="2327"/>
      <c r="D21" s="2327"/>
      <c r="E21" s="2327"/>
      <c r="F21" s="648" t="s">
        <v>956</v>
      </c>
      <c r="G21" s="648" t="s">
        <v>86</v>
      </c>
      <c r="H21" s="45"/>
      <c r="I21" s="45"/>
      <c r="J21" s="45"/>
      <c r="K21" s="45"/>
      <c r="L21" s="45"/>
      <c r="M21" s="45"/>
    </row>
    <row r="22" spans="1:14" ht="16.5" customHeight="1" x14ac:dyDescent="0.25">
      <c r="A22" s="45"/>
      <c r="B22" s="1726" t="s">
        <v>1033</v>
      </c>
      <c r="C22" s="1726"/>
      <c r="D22" s="1726"/>
      <c r="E22" s="1726"/>
      <c r="F22" s="326" t="s">
        <v>53</v>
      </c>
      <c r="G22" s="567" t="s">
        <v>53</v>
      </c>
      <c r="H22" s="45"/>
      <c r="I22" s="45"/>
      <c r="J22" s="45"/>
      <c r="K22" s="45"/>
      <c r="L22" s="45"/>
      <c r="M22" s="45"/>
      <c r="N22" s="35" t="str">
        <f>IF(F22="Access provided","Yes","No")</f>
        <v>No</v>
      </c>
    </row>
    <row r="23" spans="1:14" ht="16.5" customHeight="1" x14ac:dyDescent="0.25">
      <c r="A23" s="45"/>
      <c r="B23" s="1726" t="s">
        <v>2306</v>
      </c>
      <c r="C23" s="1726"/>
      <c r="D23" s="1726"/>
      <c r="E23" s="1726"/>
      <c r="F23" s="1151" t="s">
        <v>53</v>
      </c>
      <c r="G23" s="857" t="s">
        <v>53</v>
      </c>
      <c r="H23" s="45"/>
      <c r="I23" s="45"/>
      <c r="J23" s="45"/>
      <c r="K23" s="45"/>
      <c r="L23" s="45"/>
      <c r="M23" s="45"/>
      <c r="N23" s="35" t="str">
        <f>IF(F23="Access provided","Yes","No")</f>
        <v>No</v>
      </c>
    </row>
    <row r="24" spans="1:14" ht="16.5" customHeight="1" x14ac:dyDescent="0.25">
      <c r="A24" s="45"/>
      <c r="B24" s="1726" t="s">
        <v>1034</v>
      </c>
      <c r="C24" s="1726"/>
      <c r="D24" s="1726"/>
      <c r="E24" s="1726"/>
      <c r="F24" s="1151" t="s">
        <v>53</v>
      </c>
      <c r="G24" s="857" t="s">
        <v>53</v>
      </c>
      <c r="H24" s="45"/>
      <c r="I24" s="45"/>
      <c r="J24" s="45"/>
      <c r="K24" s="45"/>
      <c r="L24" s="45"/>
      <c r="M24" s="45"/>
      <c r="N24" s="35" t="str">
        <f t="shared" ref="N24:N27" si="0">IF(F24="Access provided","Yes","No")</f>
        <v>No</v>
      </c>
    </row>
    <row r="25" spans="1:14" ht="16.5" customHeight="1" x14ac:dyDescent="0.25">
      <c r="A25" s="45"/>
      <c r="B25" s="1726" t="s">
        <v>1035</v>
      </c>
      <c r="C25" s="1726"/>
      <c r="D25" s="1726"/>
      <c r="E25" s="1726"/>
      <c r="F25" s="1151" t="s">
        <v>53</v>
      </c>
      <c r="G25" s="857" t="s">
        <v>53</v>
      </c>
      <c r="H25" s="45"/>
      <c r="I25" s="45"/>
      <c r="J25" s="45"/>
      <c r="K25" s="45"/>
      <c r="L25" s="45"/>
      <c r="M25" s="45"/>
      <c r="N25" s="35" t="str">
        <f t="shared" si="0"/>
        <v>No</v>
      </c>
    </row>
    <row r="26" spans="1:14" ht="16.5" customHeight="1" x14ac:dyDescent="0.25">
      <c r="A26" s="45"/>
      <c r="B26" s="1726" t="s">
        <v>1036</v>
      </c>
      <c r="C26" s="1726"/>
      <c r="D26" s="1726"/>
      <c r="E26" s="1726"/>
      <c r="F26" s="1151" t="s">
        <v>53</v>
      </c>
      <c r="G26" s="857" t="s">
        <v>53</v>
      </c>
      <c r="H26" s="45"/>
      <c r="I26" s="45"/>
      <c r="J26" s="45"/>
      <c r="K26" s="45"/>
      <c r="L26" s="45"/>
      <c r="M26" s="45"/>
      <c r="N26" s="35" t="str">
        <f t="shared" si="0"/>
        <v>No</v>
      </c>
    </row>
    <row r="27" spans="1:14" ht="16.5" customHeight="1" x14ac:dyDescent="0.25">
      <c r="A27" s="45"/>
      <c r="B27" s="1726" t="s">
        <v>1037</v>
      </c>
      <c r="C27" s="1726"/>
      <c r="D27" s="1726"/>
      <c r="E27" s="1726"/>
      <c r="F27" s="326" t="s">
        <v>53</v>
      </c>
      <c r="G27" s="857" t="s">
        <v>53</v>
      </c>
      <c r="H27" s="45"/>
      <c r="I27" s="45"/>
      <c r="J27" s="45"/>
      <c r="K27" s="45"/>
      <c r="L27" s="45"/>
      <c r="M27" s="45"/>
      <c r="N27" s="35" t="str">
        <f t="shared" si="0"/>
        <v>No</v>
      </c>
    </row>
    <row r="28" spans="1:14" ht="16.5" customHeight="1" x14ac:dyDescent="0.25">
      <c r="A28" s="45"/>
      <c r="B28" s="1726" t="s">
        <v>1038</v>
      </c>
      <c r="C28" s="1726"/>
      <c r="D28" s="1726"/>
      <c r="E28" s="1726"/>
      <c r="F28" s="326" t="s">
        <v>53</v>
      </c>
      <c r="G28" s="857" t="s">
        <v>53</v>
      </c>
      <c r="H28" s="45"/>
      <c r="I28" s="331" t="s">
        <v>433</v>
      </c>
      <c r="J28" s="1634"/>
      <c r="K28" s="1634"/>
      <c r="L28" s="45"/>
      <c r="M28" s="45"/>
      <c r="N28" s="35" t="str">
        <f>IF(AND(J28&lt;&gt;"",F28="Access provided"),"Yes","No")</f>
        <v>No</v>
      </c>
    </row>
    <row r="29" spans="1:14" ht="16.5" customHeight="1" x14ac:dyDescent="0.25">
      <c r="A29" s="45"/>
      <c r="B29" s="1726" t="s">
        <v>1038</v>
      </c>
      <c r="C29" s="1726"/>
      <c r="D29" s="1726"/>
      <c r="E29" s="1726"/>
      <c r="F29" s="326" t="s">
        <v>53</v>
      </c>
      <c r="G29" s="857" t="s">
        <v>53</v>
      </c>
      <c r="H29" s="45"/>
      <c r="I29" s="331" t="s">
        <v>433</v>
      </c>
      <c r="J29" s="1634"/>
      <c r="K29" s="1634"/>
      <c r="L29" s="45"/>
      <c r="M29" s="45"/>
      <c r="N29" s="35" t="str">
        <f>IF(AND(J29&lt;&gt;"",F29="Access provided"),"Yes","No")</f>
        <v>No</v>
      </c>
    </row>
    <row r="30" spans="1:14" x14ac:dyDescent="0.25">
      <c r="A30" s="45"/>
      <c r="B30" s="46"/>
      <c r="C30" s="46"/>
      <c r="D30" s="46"/>
      <c r="E30" s="46"/>
      <c r="F30" s="45"/>
      <c r="G30" s="45"/>
      <c r="H30" s="45"/>
      <c r="I30" s="45"/>
      <c r="J30" s="45"/>
      <c r="K30" s="45"/>
      <c r="L30" s="45"/>
      <c r="M30" s="45"/>
    </row>
    <row r="31" spans="1:14" ht="18" customHeight="1" x14ac:dyDescent="0.25">
      <c r="A31" s="45"/>
      <c r="B31" s="2328" t="s">
        <v>434</v>
      </c>
      <c r="C31" s="2328"/>
      <c r="D31" s="2328"/>
      <c r="E31" s="144" t="str">
        <f>IF(COUNTIF(N22:N29,"Yes")&gt;=3,"Yes","No")</f>
        <v>No</v>
      </c>
      <c r="F31" s="45"/>
      <c r="G31" s="45"/>
      <c r="H31" s="45"/>
      <c r="I31" s="45"/>
      <c r="J31" s="45"/>
      <c r="K31" s="45"/>
      <c r="L31" s="45"/>
      <c r="M31" s="45"/>
    </row>
    <row r="32" spans="1:14" ht="19.5" customHeight="1" x14ac:dyDescent="0.25">
      <c r="A32" s="45"/>
      <c r="B32" s="46"/>
      <c r="C32" s="46"/>
      <c r="D32" s="46"/>
      <c r="E32" s="46"/>
      <c r="F32" s="45"/>
      <c r="G32" s="45"/>
      <c r="H32" s="45"/>
      <c r="I32" s="45"/>
      <c r="J32" s="45"/>
      <c r="K32" s="45"/>
      <c r="L32" s="45"/>
      <c r="M32" s="45"/>
    </row>
    <row r="33" spans="1:14" ht="18" customHeight="1" x14ac:dyDescent="0.25">
      <c r="A33" s="2311" t="s">
        <v>84</v>
      </c>
      <c r="B33" s="2311"/>
      <c r="C33" s="2311"/>
      <c r="D33" s="2311"/>
      <c r="E33" s="2311"/>
      <c r="F33" s="2311"/>
      <c r="G33" s="2311"/>
      <c r="H33" s="2311"/>
      <c r="I33" s="2311"/>
      <c r="J33" s="2311"/>
      <c r="K33" s="2311"/>
      <c r="L33" s="2311"/>
      <c r="M33" s="2311"/>
      <c r="N33" s="46"/>
    </row>
    <row r="34" spans="1:14" ht="16.5" customHeight="1" x14ac:dyDescent="0.25">
      <c r="A34" s="45"/>
      <c r="B34" s="46"/>
      <c r="C34" s="46"/>
      <c r="D34" s="46"/>
      <c r="E34" s="45"/>
      <c r="F34" s="45"/>
      <c r="G34" s="45"/>
      <c r="H34" s="45"/>
      <c r="I34" s="45"/>
      <c r="J34" s="45"/>
      <c r="K34" s="45"/>
      <c r="L34" s="45"/>
      <c r="M34" s="45"/>
      <c r="N34" s="45"/>
    </row>
    <row r="35" spans="1:14" ht="21" customHeight="1" x14ac:dyDescent="0.25">
      <c r="A35" s="45"/>
      <c r="B35" s="2322" t="s">
        <v>85</v>
      </c>
      <c r="C35" s="2323"/>
      <c r="D35" s="2323"/>
      <c r="E35" s="2323"/>
      <c r="F35" s="2323"/>
      <c r="G35" s="659" t="s">
        <v>907</v>
      </c>
      <c r="H35" s="2324" t="s">
        <v>908</v>
      </c>
      <c r="I35" s="2325"/>
      <c r="J35" s="45"/>
      <c r="K35" s="45"/>
      <c r="L35" s="45"/>
      <c r="M35" s="45"/>
      <c r="N35" s="45"/>
    </row>
    <row r="36" spans="1:14" ht="39" customHeight="1" x14ac:dyDescent="0.25">
      <c r="A36" s="45"/>
      <c r="B36" s="1648" t="str">
        <f>Submittals!G137</f>
        <v>For facilities and amenities located in the project space:
• Floor plans showing the location of facilities and amenities</v>
      </c>
      <c r="C36" s="1649"/>
      <c r="D36" s="1649"/>
      <c r="E36" s="1649"/>
      <c r="F36" s="1650"/>
      <c r="G36" s="658" t="s">
        <v>53</v>
      </c>
      <c r="H36" s="1689"/>
      <c r="I36" s="1690"/>
      <c r="J36" s="45"/>
      <c r="K36" s="45"/>
      <c r="L36" s="45"/>
      <c r="M36" s="45"/>
      <c r="N36" s="35" t="str">
        <f>IF(OR(B36="/",B36="No evidence required at this submission stage"),"Yes",IF(G36="Submitted","Yes",IF(AND(G36="N/A",COUNTIF(G22:G29,"Project space")=0),"Yes","No")))</f>
        <v>No</v>
      </c>
    </row>
    <row r="37" spans="1:14" ht="41.25" customHeight="1" x14ac:dyDescent="0.25">
      <c r="A37" s="45"/>
      <c r="B37" s="1648" t="str">
        <f>Submittals!G138</f>
        <v>For facilities and amenities located in the base building:
• Evidence showing that the facilities and amenities are accessible to all the occupants of the project space such as lease agreement, letter of conformation from the owner of the base building, etc.</v>
      </c>
      <c r="C37" s="1649"/>
      <c r="D37" s="1649"/>
      <c r="E37" s="1649"/>
      <c r="F37" s="1650"/>
      <c r="G37" s="1150" t="s">
        <v>53</v>
      </c>
      <c r="H37" s="1689"/>
      <c r="I37" s="1690"/>
      <c r="J37" s="45"/>
      <c r="K37" s="45"/>
      <c r="L37" s="45"/>
      <c r="M37" s="45"/>
      <c r="N37" s="35" t="str">
        <f>IF(OR(B37="/",B37="No evidence required at this submission stage"),"Yes",IF(G37="Submitted","Yes",IF(AND(G37="N/A",COUNTIF(G22:G29,"Base building")=0),"Yes","No")))</f>
        <v>No</v>
      </c>
    </row>
    <row r="38" spans="1:14" ht="27" customHeight="1" x14ac:dyDescent="0.25">
      <c r="A38" s="45"/>
      <c r="B38" s="1648" t="str">
        <f>Submittals!G139</f>
        <v>• Photographs showing the facilities and amenities</v>
      </c>
      <c r="C38" s="1649"/>
      <c r="D38" s="1649"/>
      <c r="E38" s="1649"/>
      <c r="F38" s="1650"/>
      <c r="G38" s="658" t="s">
        <v>53</v>
      </c>
      <c r="H38" s="1689"/>
      <c r="I38" s="1690"/>
      <c r="J38" s="45"/>
      <c r="K38" s="45"/>
      <c r="L38" s="45"/>
      <c r="M38" s="45"/>
      <c r="N38" s="35" t="str">
        <f>IF(OR(B38="/",B38="No evidence required at this submission stage"),"Yes",IF(G38="Submitted","Yes","No"))</f>
        <v>No</v>
      </c>
    </row>
    <row r="39" spans="1:14" ht="19.5" customHeight="1" x14ac:dyDescent="0.25">
      <c r="A39" s="45"/>
      <c r="B39" s="46"/>
      <c r="C39" s="46"/>
      <c r="D39" s="46"/>
      <c r="E39" s="46"/>
      <c r="F39" s="45"/>
      <c r="G39" s="45"/>
      <c r="H39" s="45"/>
      <c r="I39" s="45"/>
      <c r="J39" s="45"/>
      <c r="K39" s="45"/>
      <c r="L39" s="45"/>
      <c r="M39" s="45"/>
    </row>
    <row r="40" spans="1:14" ht="18" customHeight="1" x14ac:dyDescent="0.25">
      <c r="A40" s="2311" t="s">
        <v>5</v>
      </c>
      <c r="B40" s="2311"/>
      <c r="C40" s="2311"/>
      <c r="D40" s="2311"/>
      <c r="E40" s="2311"/>
      <c r="F40" s="2311"/>
      <c r="G40" s="2311"/>
      <c r="H40" s="2311"/>
      <c r="I40" s="2311"/>
      <c r="J40" s="2311"/>
      <c r="K40" s="2311"/>
      <c r="L40" s="2311"/>
      <c r="M40" s="2311"/>
    </row>
    <row r="41" spans="1:14" ht="16.5" customHeight="1" x14ac:dyDescent="0.25">
      <c r="A41" s="45"/>
      <c r="B41" s="46"/>
      <c r="C41" s="46"/>
      <c r="D41" s="46"/>
      <c r="E41" s="46"/>
      <c r="F41" s="45"/>
      <c r="G41" s="45"/>
      <c r="H41" s="45"/>
      <c r="I41" s="45"/>
      <c r="J41" s="45"/>
      <c r="K41" s="45"/>
      <c r="L41" s="45"/>
      <c r="M41" s="45"/>
    </row>
    <row r="42" spans="1:14" ht="18" customHeight="1" x14ac:dyDescent="0.25">
      <c r="A42" s="45"/>
      <c r="B42" s="133" t="s">
        <v>16</v>
      </c>
      <c r="C42" s="8">
        <f>IF(E31="Yes",1,0)</f>
        <v>0</v>
      </c>
      <c r="D42" s="46"/>
      <c r="E42" s="46"/>
      <c r="F42" s="45"/>
      <c r="G42" s="45"/>
      <c r="H42" s="45"/>
      <c r="I42" s="45"/>
      <c r="J42" s="45"/>
      <c r="K42" s="45"/>
      <c r="L42" s="45"/>
      <c r="M42" s="45"/>
    </row>
    <row r="43" spans="1:14" ht="18" customHeight="1" x14ac:dyDescent="0.25">
      <c r="A43" s="45"/>
      <c r="B43" s="136" t="s">
        <v>133</v>
      </c>
      <c r="C43" s="8" t="str">
        <f>IF(AND(COUNTIF(N36:N38,"Yes")=3,C42&gt;0,COUNTIF(G36:G37,"N/A")&lt;2),"Yes","No")</f>
        <v>No</v>
      </c>
      <c r="D43" s="45"/>
      <c r="E43" s="45"/>
      <c r="F43" s="45"/>
      <c r="G43" s="45"/>
      <c r="H43" s="45"/>
      <c r="I43" s="45"/>
      <c r="J43" s="45"/>
      <c r="K43" s="45"/>
      <c r="L43" s="45"/>
      <c r="M43" s="45"/>
    </row>
    <row r="44" spans="1:14" ht="20.25" customHeight="1" x14ac:dyDescent="0.25">
      <c r="A44" s="45"/>
      <c r="B44" s="46"/>
      <c r="C44" s="46"/>
      <c r="D44" s="46"/>
      <c r="E44" s="46"/>
      <c r="F44" s="45"/>
      <c r="G44" s="45"/>
      <c r="H44" s="45"/>
      <c r="I44" s="45"/>
      <c r="J44" s="45"/>
      <c r="K44" s="45"/>
      <c r="L44" s="45"/>
      <c r="M44" s="45"/>
    </row>
    <row r="45" spans="1:14" hidden="1" x14ac:dyDescent="0.25">
      <c r="A45" s="45"/>
      <c r="B45" s="46"/>
      <c r="C45" s="46"/>
      <c r="D45" s="46"/>
      <c r="E45" s="46"/>
      <c r="F45" s="45"/>
      <c r="G45" s="45"/>
      <c r="H45" s="45"/>
      <c r="I45" s="45"/>
      <c r="J45" s="45"/>
      <c r="K45" s="45"/>
      <c r="L45" s="45"/>
      <c r="M45" s="45"/>
    </row>
    <row r="46" spans="1:14" hidden="1" x14ac:dyDescent="0.25">
      <c r="A46" s="45"/>
      <c r="B46" s="46"/>
      <c r="C46" s="46"/>
      <c r="D46" s="46"/>
      <c r="E46" s="46"/>
      <c r="F46" s="45"/>
      <c r="G46" s="45"/>
      <c r="H46" s="45"/>
      <c r="I46" s="45"/>
      <c r="J46" s="45"/>
      <c r="K46" s="45"/>
      <c r="L46" s="45"/>
      <c r="M46" s="45"/>
    </row>
    <row r="47" spans="1:14" hidden="1" x14ac:dyDescent="0.25"/>
    <row r="48" spans="1:14" hidden="1" x14ac:dyDescent="0.25"/>
    <row r="49" hidden="1" x14ac:dyDescent="0.25"/>
    <row r="50" hidden="1" x14ac:dyDescent="0.25"/>
    <row r="51" hidden="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sheetData>
  <sheetProtection algorithmName="SHA-512" hashValue="odDhoOUAL0Gj7EtkkfUMi/J0XAvE4VEP9+Zr7yWvF6f5+yki4yc4s6nKfVgSPy+YeVejo/DP+mw/UHO8DvwIew==" saltValue="1zva+XAvnTD04XnoCv4aAQ==" spinCount="100000" sheet="1" objects="1" scenarios="1" formatRows="0"/>
  <dataConsolidate/>
  <mergeCells count="29">
    <mergeCell ref="A40:M40"/>
    <mergeCell ref="B22:E22"/>
    <mergeCell ref="B23:E23"/>
    <mergeCell ref="B24:E24"/>
    <mergeCell ref="B35:F35"/>
    <mergeCell ref="B36:F36"/>
    <mergeCell ref="B38:F38"/>
    <mergeCell ref="A33:M33"/>
    <mergeCell ref="J28:K28"/>
    <mergeCell ref="B29:E29"/>
    <mergeCell ref="J29:K29"/>
    <mergeCell ref="B31:D31"/>
    <mergeCell ref="B28:E28"/>
    <mergeCell ref="H35:I35"/>
    <mergeCell ref="H36:I36"/>
    <mergeCell ref="H38:I38"/>
    <mergeCell ref="B37:F37"/>
    <mergeCell ref="H37:I37"/>
    <mergeCell ref="A1:M1"/>
    <mergeCell ref="A14:M14"/>
    <mergeCell ref="A9:M9"/>
    <mergeCell ref="B25:E25"/>
    <mergeCell ref="B26:E26"/>
    <mergeCell ref="B21:E21"/>
    <mergeCell ref="A5:M7"/>
    <mergeCell ref="B11:E11"/>
    <mergeCell ref="B12:E12"/>
    <mergeCell ref="B27:E27"/>
    <mergeCell ref="I2:K4"/>
  </mergeCells>
  <conditionalFormatting sqref="G36:I38">
    <cfRule type="expression" dxfId="90" priority="1">
      <formula>$B36="/"</formula>
    </cfRule>
    <cfRule type="expression" dxfId="89" priority="2">
      <formula>$B36="No evidence required at this submission stage"</formula>
    </cfRule>
  </conditionalFormatting>
  <dataValidations disablePrompts="1" count="4">
    <dataValidation type="list" allowBlank="1" showInputMessage="1" showErrorMessage="1" sqref="F22:F29" xr:uid="{00000000-0002-0000-2C00-000000000000}">
      <formula1>"Select,Access provided,No access"</formula1>
    </dataValidation>
    <dataValidation type="list" allowBlank="1" showInputMessage="1" showErrorMessage="1" sqref="G38" xr:uid="{00000000-0002-0000-2C00-000001000000}">
      <formula1>"Select,Submitted,Not submitted"</formula1>
    </dataValidation>
    <dataValidation type="list" allowBlank="1" showInputMessage="1" showErrorMessage="1" sqref="G22:G29" xr:uid="{00000000-0002-0000-2C00-000002000000}">
      <formula1>"Select,Project space, Base building"</formula1>
    </dataValidation>
    <dataValidation type="list" allowBlank="1" showInputMessage="1" showErrorMessage="1" sqref="G36:G37" xr:uid="{00000000-0002-0000-2C00-000003000000}">
      <formula1>"Select,N/A,Submitted,Not submitted"</formula1>
    </dataValidation>
  </dataValidations>
  <hyperlinks>
    <hyperlink ref="L2" location="'SE-1 Base building '!B3" tooltip="SE-1" display="SE-1" xr:uid="{FC91C1F4-7515-4FE8-A88B-2D06A9D16388}"/>
    <hyperlink ref="L3" location="'SE-2 Tenancy lease'!B3" tooltip="SE-2" display="SE-2" xr:uid="{441E4A5E-C9C1-4EF4-9304-A23A90F8ABF2}"/>
    <hyperlink ref="M3" location="'SE-4 Refrigerants'!B3" tooltip="SE-4" display="SE-4" xr:uid="{4B47DFD6-663B-43B2-B4B7-EFD267A6BA41}"/>
    <hyperlink ref="L4" location="'SE-3 Green Transportation '!B3" tooltip="SE-3" display="SE-3" xr:uid="{F9CA5463-0BEF-4CC2-B403-8A7E9E43C593}"/>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
    <tabColor rgb="FF984806"/>
  </sheetPr>
  <dimension ref="A1:M55"/>
  <sheetViews>
    <sheetView showRowColHeaders="0" zoomScale="90" zoomScaleNormal="90" workbookViewId="0">
      <selection activeCell="K2" sqref="K2"/>
    </sheetView>
  </sheetViews>
  <sheetFormatPr defaultColWidth="0" defaultRowHeight="0" customHeight="1" zeroHeight="1" x14ac:dyDescent="0.25"/>
  <cols>
    <col min="1" max="1" width="5.7109375" customWidth="1"/>
    <col min="2" max="2" width="33.42578125" customWidth="1"/>
    <col min="3" max="3" width="3.7109375" customWidth="1"/>
    <col min="4" max="4" width="11.140625" customWidth="1"/>
    <col min="5" max="5" width="20.5703125" customWidth="1"/>
    <col min="6" max="6" width="22.5703125" customWidth="1"/>
    <col min="7" max="8" width="19.7109375" customWidth="1"/>
    <col min="9" max="9" width="10" customWidth="1"/>
    <col min="10" max="10" width="8" customWidth="1"/>
    <col min="11" max="11" width="5.42578125" customWidth="1"/>
    <col min="12" max="12" width="3.28515625" customWidth="1"/>
    <col min="13" max="16384" width="9.140625" hidden="1"/>
  </cols>
  <sheetData>
    <row r="1" spans="1:13" ht="24.75" customHeight="1" x14ac:dyDescent="0.25">
      <c r="A1" s="168"/>
      <c r="B1" s="2400" t="s">
        <v>198</v>
      </c>
      <c r="C1" s="169"/>
      <c r="D1" s="178"/>
      <c r="E1" s="179"/>
      <c r="F1" s="179"/>
      <c r="G1" s="179"/>
      <c r="H1" s="179"/>
      <c r="I1" s="179"/>
      <c r="J1" s="179"/>
      <c r="K1" s="179"/>
      <c r="L1" s="180"/>
      <c r="M1" s="179"/>
    </row>
    <row r="2" spans="1:13" ht="24.75" customHeight="1" x14ac:dyDescent="0.25">
      <c r="A2" s="170"/>
      <c r="B2" s="2401"/>
      <c r="C2" s="171"/>
      <c r="D2" s="181"/>
      <c r="E2" s="182"/>
      <c r="F2" s="182"/>
      <c r="G2" s="182"/>
      <c r="H2" s="182"/>
      <c r="I2" s="182"/>
      <c r="J2" s="182"/>
      <c r="K2" s="182"/>
      <c r="L2" s="183"/>
      <c r="M2" s="182"/>
    </row>
    <row r="3" spans="1:13" ht="24.75" customHeight="1" x14ac:dyDescent="0.25">
      <c r="A3" s="170"/>
      <c r="B3" s="2401"/>
      <c r="C3" s="171"/>
      <c r="D3" s="181"/>
      <c r="E3" s="182"/>
      <c r="F3" s="182"/>
      <c r="G3" s="182"/>
      <c r="H3" s="182"/>
      <c r="I3" s="182"/>
      <c r="J3" s="182"/>
      <c r="K3" s="182"/>
      <c r="L3" s="183"/>
      <c r="M3" s="182"/>
    </row>
    <row r="4" spans="1:13" ht="15" customHeight="1" x14ac:dyDescent="0.25">
      <c r="A4" s="170"/>
      <c r="B4" s="172"/>
      <c r="C4" s="173"/>
      <c r="D4" s="181"/>
      <c r="E4" s="2402" t="s">
        <v>118</v>
      </c>
      <c r="F4" s="2403"/>
      <c r="G4" s="2406" t="s">
        <v>119</v>
      </c>
      <c r="H4" s="2406" t="s">
        <v>16</v>
      </c>
      <c r="I4" s="182"/>
      <c r="J4" s="182"/>
      <c r="K4" s="182"/>
      <c r="L4" s="183"/>
      <c r="M4" s="182"/>
    </row>
    <row r="5" spans="1:13" ht="15" customHeight="1" x14ac:dyDescent="0.25">
      <c r="A5" s="170"/>
      <c r="B5" s="2409" t="str">
        <f>IF(A1="","To ensure that, throughout the project, all targets set up for the various stages (design, construction and operation) are competently and effectively managed","Nhằm đảm bảo rằng, các mục tiêu đặt ra trong từng bước của quá trình xây dựng (thiết kế, xây dựng, vận hành thử nghiệm và vận hành chính thức) được quản lý đẩy đủ và hiệu quả.")</f>
        <v>To ensure that, throughout the project, all targets set up for the various stages (design, construction and operation) are competently and effectively managed</v>
      </c>
      <c r="C5" s="174"/>
      <c r="D5" s="181"/>
      <c r="E5" s="2404"/>
      <c r="F5" s="2405"/>
      <c r="G5" s="2406"/>
      <c r="H5" s="2406"/>
      <c r="I5" s="182"/>
      <c r="J5" s="182"/>
      <c r="K5" s="182"/>
      <c r="L5" s="183"/>
      <c r="M5" s="182"/>
    </row>
    <row r="6" spans="1:13" ht="22.5" customHeight="1" x14ac:dyDescent="0.25">
      <c r="A6" s="170"/>
      <c r="B6" s="2409"/>
      <c r="C6" s="174"/>
      <c r="D6" s="181"/>
      <c r="E6" s="2407" t="s">
        <v>1742</v>
      </c>
      <c r="F6" s="2408"/>
      <c r="G6" s="96">
        <v>2</v>
      </c>
      <c r="H6" s="96">
        <f>'Man-1 Construction Stage'!G16</f>
        <v>0</v>
      </c>
      <c r="I6" s="182"/>
      <c r="J6" s="182"/>
      <c r="K6" s="182"/>
      <c r="L6" s="183"/>
      <c r="M6" s="182"/>
    </row>
    <row r="7" spans="1:13" ht="22.5" customHeight="1" x14ac:dyDescent="0.25">
      <c r="A7" s="170"/>
      <c r="B7" s="2409"/>
      <c r="C7" s="174"/>
      <c r="D7" s="181"/>
      <c r="E7" s="2407" t="s">
        <v>1743</v>
      </c>
      <c r="F7" s="2408"/>
      <c r="G7" s="96">
        <v>1</v>
      </c>
      <c r="H7" s="96">
        <f>'Man-2 Commissioning'!G12</f>
        <v>0</v>
      </c>
      <c r="I7" s="182"/>
      <c r="J7" s="182"/>
      <c r="K7" s="182"/>
      <c r="L7" s="183"/>
      <c r="M7" s="182"/>
    </row>
    <row r="8" spans="1:13" ht="22.5" customHeight="1" x14ac:dyDescent="0.25">
      <c r="A8" s="170"/>
      <c r="B8" s="2409"/>
      <c r="C8" s="174"/>
      <c r="D8" s="181"/>
      <c r="E8" s="2407" t="s">
        <v>1746</v>
      </c>
      <c r="F8" s="2408"/>
      <c r="G8" s="96">
        <v>2</v>
      </c>
      <c r="H8" s="96">
        <f>'Man-3 Maintenance'!G14</f>
        <v>0</v>
      </c>
      <c r="I8" s="182"/>
      <c r="J8" s="182"/>
      <c r="K8" s="182"/>
      <c r="L8" s="183"/>
      <c r="M8" s="182"/>
    </row>
    <row r="9" spans="1:13" ht="22.5" customHeight="1" x14ac:dyDescent="0.25">
      <c r="A9" s="175"/>
      <c r="B9" s="2409"/>
      <c r="C9" s="174"/>
      <c r="D9" s="181"/>
      <c r="E9" s="2407" t="s">
        <v>1740</v>
      </c>
      <c r="F9" s="2408"/>
      <c r="G9" s="96">
        <v>2</v>
      </c>
      <c r="H9" s="96">
        <f>'Man-4 Green Awareness '!G15</f>
        <v>0</v>
      </c>
      <c r="I9" s="182"/>
      <c r="J9" s="182"/>
      <c r="K9" s="182"/>
      <c r="L9" s="183"/>
      <c r="M9" s="182"/>
    </row>
    <row r="10" spans="1:13" ht="22.5" customHeight="1" x14ac:dyDescent="0.25">
      <c r="A10" s="175"/>
      <c r="B10" s="2409"/>
      <c r="C10" s="174"/>
      <c r="D10" s="181"/>
      <c r="E10" s="2407" t="s">
        <v>1714</v>
      </c>
      <c r="F10" s="2408"/>
      <c r="G10" s="96">
        <v>2</v>
      </c>
      <c r="H10" s="96">
        <f>'Man BPC'!G14</f>
        <v>0</v>
      </c>
      <c r="I10" s="182"/>
      <c r="J10" s="182"/>
      <c r="K10" s="182"/>
      <c r="L10" s="183"/>
      <c r="M10" s="182"/>
    </row>
    <row r="11" spans="1:13" ht="26.25" customHeight="1" x14ac:dyDescent="0.25">
      <c r="A11" s="175"/>
      <c r="B11" s="2409"/>
      <c r="C11" s="174"/>
      <c r="D11" s="181"/>
      <c r="E11" s="2410" t="s">
        <v>25</v>
      </c>
      <c r="F11" s="2411"/>
      <c r="G11" s="89">
        <f>SUM(G6:G10)</f>
        <v>9</v>
      </c>
      <c r="H11" s="89">
        <f>SUM(H6:H10)</f>
        <v>0</v>
      </c>
      <c r="I11" s="182"/>
      <c r="J11" s="182"/>
      <c r="K11" s="182"/>
      <c r="L11" s="183"/>
      <c r="M11" s="182"/>
    </row>
    <row r="12" spans="1:13" ht="15" customHeight="1" x14ac:dyDescent="0.25">
      <c r="A12" s="175"/>
      <c r="B12" s="187"/>
      <c r="C12" s="174"/>
      <c r="D12" s="181"/>
      <c r="E12" s="182"/>
      <c r="F12" s="182"/>
      <c r="G12" s="182"/>
      <c r="H12" s="182"/>
      <c r="I12" s="182"/>
      <c r="J12" s="182"/>
      <c r="K12" s="182"/>
      <c r="L12" s="183"/>
      <c r="M12" s="182"/>
    </row>
    <row r="13" spans="1:13" ht="15" customHeight="1" x14ac:dyDescent="0.25">
      <c r="A13" s="175"/>
      <c r="B13" s="187"/>
      <c r="C13" s="174"/>
      <c r="D13" s="181"/>
      <c r="E13" s="182"/>
      <c r="F13" s="182"/>
      <c r="G13" s="182"/>
      <c r="H13" s="182"/>
      <c r="I13" s="182"/>
      <c r="J13" s="182"/>
      <c r="K13" s="182"/>
      <c r="L13" s="183"/>
      <c r="M13" s="182"/>
    </row>
    <row r="14" spans="1:13" ht="15" customHeight="1" x14ac:dyDescent="0.25">
      <c r="A14" s="176"/>
      <c r="B14" s="188"/>
      <c r="C14" s="177"/>
      <c r="D14" s="184"/>
      <c r="E14" s="185"/>
      <c r="F14" s="185"/>
      <c r="G14" s="185"/>
      <c r="H14" s="185"/>
      <c r="I14" s="185"/>
      <c r="J14" s="185"/>
      <c r="K14" s="185"/>
      <c r="L14" s="186"/>
      <c r="M14" s="185"/>
    </row>
    <row r="15" spans="1:13" ht="15" hidden="1" customHeight="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sheetData>
  <sheetProtection algorithmName="SHA-512" hashValue="h1N2/qpEX+FNmBt4vgaE59/0kQb/2VQhFpEviFEaGLZmE0Pz1jtDcNtdcbL1ynpJ2mjEQW3daU4UrsUiJMo+jQ==" saltValue="gYpYFO0UGXVqF9mIf3iDnA==" spinCount="100000" sheet="1" objects="1" scenarios="1" formatRows="0"/>
  <mergeCells count="11">
    <mergeCell ref="B1:B3"/>
    <mergeCell ref="E4:F5"/>
    <mergeCell ref="G4:G5"/>
    <mergeCell ref="H4:H5"/>
    <mergeCell ref="E9:F9"/>
    <mergeCell ref="E6:F6"/>
    <mergeCell ref="E7:F7"/>
    <mergeCell ref="B5:B11"/>
    <mergeCell ref="E8:F8"/>
    <mergeCell ref="E10:F10"/>
    <mergeCell ref="E11:F11"/>
  </mergeCells>
  <hyperlinks>
    <hyperlink ref="E6" location="'CM-2 Construction Management'!A1" tooltip="CM-2 Construction Management" display="CM-2 Construction Management" xr:uid="{00000000-0004-0000-2D00-000000000000}"/>
    <hyperlink ref="E7" location="'CM-3 Operational Management'!A1" tooltip="CM-3 Operational Management" display="CM-3 Operational Management" xr:uid="{00000000-0004-0000-2D00-000001000000}"/>
    <hyperlink ref="E9:F9" location="'Man-4 Green Awareness '!B3" tooltip="Man-4 Green Awareness and Behaviour" display="Man-4 Green Awareness and Behaviour" xr:uid="{00000000-0004-0000-2D00-000002000000}"/>
    <hyperlink ref="E8" location="'CM-3 Operational Management'!A1" tooltip="CM-3 Operational Management" display="CM-3 Operational Management" xr:uid="{00000000-0004-0000-2D00-000003000000}"/>
    <hyperlink ref="E6:F6" location="'Man-1 Construction Stage'!B3" tooltip="Man-1 Construction Stage" display="Man-1 Construction Stage" xr:uid="{00000000-0004-0000-2D00-000004000000}"/>
    <hyperlink ref="E8:F8" location="'Man-3 Maintenance'!B3" tooltip="Man-3 Maintenance" display="Man-3 Maintenance" xr:uid="{00000000-0004-0000-2D00-000005000000}"/>
    <hyperlink ref="E7:F7" location="'Man-2 Commissioning'!B3" tooltip="Man-2 Commissioning" display="Man-2 Commissioning" xr:uid="{00000000-0004-0000-2D00-000006000000}"/>
    <hyperlink ref="E10:F10" location="'Man BPC'!B3" tooltip="Management Best Practice Credits" display="Management Best Practice Credits" xr:uid="{00000000-0004-0000-2D00-000007000000}"/>
  </hyperlink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984806"/>
  </sheetPr>
  <dimension ref="A1:M233"/>
  <sheetViews>
    <sheetView showRowColHeaders="0" workbookViewId="0">
      <pane ySplit="8" topLeftCell="A9" activePane="bottomLeft" state="frozen"/>
      <selection activeCell="E21" sqref="E21"/>
      <selection pane="bottomLeft" activeCell="A5" sqref="A5:K7"/>
    </sheetView>
  </sheetViews>
  <sheetFormatPr defaultColWidth="0" defaultRowHeight="15" customHeight="1" zeroHeight="1" x14ac:dyDescent="0.25"/>
  <cols>
    <col min="1" max="1" width="4.7109375" style="35" customWidth="1"/>
    <col min="2" max="2" width="18.42578125" style="35" customWidth="1"/>
    <col min="3" max="3" width="16.85546875" style="35" customWidth="1"/>
    <col min="4" max="4" width="19.7109375" style="35" customWidth="1"/>
    <col min="5" max="6" width="18.42578125" style="35" customWidth="1"/>
    <col min="7" max="7" width="18.28515625" style="35" customWidth="1"/>
    <col min="8" max="8" width="19.5703125" style="35" customWidth="1"/>
    <col min="9" max="9" width="19.7109375" style="35" customWidth="1"/>
    <col min="10" max="11" width="9.7109375" style="35" customWidth="1"/>
    <col min="12" max="16384" width="9.140625" style="35" hidden="1"/>
  </cols>
  <sheetData>
    <row r="1" spans="1:12" ht="25.5" customHeight="1" x14ac:dyDescent="0.25">
      <c r="A1" s="1372" t="s">
        <v>1742</v>
      </c>
      <c r="B1" s="1372"/>
      <c r="C1" s="1372"/>
      <c r="D1" s="1372"/>
      <c r="E1" s="1372"/>
      <c r="F1" s="1372"/>
      <c r="G1" s="1372"/>
      <c r="H1" s="1372"/>
      <c r="I1" s="1372"/>
      <c r="J1" s="1372"/>
      <c r="K1" s="1372"/>
    </row>
    <row r="2" spans="1:12" ht="15" customHeight="1" x14ac:dyDescent="0.25">
      <c r="A2" s="45"/>
      <c r="B2" s="46"/>
      <c r="C2" s="46"/>
      <c r="D2" s="46"/>
      <c r="E2" s="46"/>
      <c r="F2" s="45"/>
      <c r="G2" s="45"/>
      <c r="H2" s="1753" t="s">
        <v>1285</v>
      </c>
      <c r="I2" s="1753"/>
      <c r="J2" s="622" t="s">
        <v>259</v>
      </c>
      <c r="K2" s="622"/>
    </row>
    <row r="3" spans="1:12" ht="15" customHeight="1" x14ac:dyDescent="0.25">
      <c r="A3" s="45"/>
      <c r="B3" s="46"/>
      <c r="C3" s="46"/>
      <c r="D3" s="46"/>
      <c r="E3" s="46"/>
      <c r="F3" s="45"/>
      <c r="G3" s="45"/>
      <c r="H3" s="1753"/>
      <c r="I3" s="1753"/>
      <c r="J3" s="622" t="s">
        <v>260</v>
      </c>
      <c r="K3" s="622" t="s">
        <v>1741</v>
      </c>
    </row>
    <row r="4" spans="1:12" ht="15" customHeight="1" x14ac:dyDescent="0.25">
      <c r="A4" s="45"/>
      <c r="B4" s="46"/>
      <c r="C4" s="46"/>
      <c r="D4" s="46"/>
      <c r="E4" s="46"/>
      <c r="F4" s="45"/>
      <c r="G4" s="45"/>
      <c r="H4" s="1754"/>
      <c r="I4" s="1754"/>
      <c r="J4" s="622" t="s">
        <v>261</v>
      </c>
      <c r="K4" s="622"/>
    </row>
    <row r="5" spans="1:12" ht="21" customHeight="1" x14ac:dyDescent="0.25">
      <c r="A5" s="1656" t="s">
        <v>2646</v>
      </c>
      <c r="B5" s="1657"/>
      <c r="C5" s="1657"/>
      <c r="D5" s="1657"/>
      <c r="E5" s="1657"/>
      <c r="F5" s="1657"/>
      <c r="G5" s="1657"/>
      <c r="H5" s="1657"/>
      <c r="I5" s="1657"/>
      <c r="J5" s="1657"/>
      <c r="K5" s="1658"/>
    </row>
    <row r="6" spans="1:12" ht="21" customHeight="1" x14ac:dyDescent="0.25">
      <c r="A6" s="1659"/>
      <c r="B6" s="1660"/>
      <c r="C6" s="1660"/>
      <c r="D6" s="1660"/>
      <c r="E6" s="1660"/>
      <c r="F6" s="1660"/>
      <c r="G6" s="1660"/>
      <c r="H6" s="1660"/>
      <c r="I6" s="1660"/>
      <c r="J6" s="1660"/>
      <c r="K6" s="1661"/>
    </row>
    <row r="7" spans="1:12" ht="21" customHeight="1" x14ac:dyDescent="0.25">
      <c r="A7" s="1662"/>
      <c r="B7" s="1663"/>
      <c r="C7" s="1663"/>
      <c r="D7" s="1663"/>
      <c r="E7" s="1663"/>
      <c r="F7" s="1663"/>
      <c r="G7" s="1663"/>
      <c r="H7" s="1663"/>
      <c r="I7" s="1663"/>
      <c r="J7" s="1663"/>
      <c r="K7" s="1664"/>
    </row>
    <row r="8" spans="1:12" ht="12" customHeight="1" x14ac:dyDescent="0.25">
      <c r="A8" s="45"/>
      <c r="B8" s="46"/>
      <c r="C8" s="46"/>
      <c r="D8" s="46"/>
      <c r="E8" s="46"/>
      <c r="F8" s="45"/>
      <c r="G8" s="45"/>
      <c r="H8" s="45"/>
      <c r="I8" s="45"/>
      <c r="J8" s="45"/>
      <c r="K8" s="45"/>
    </row>
    <row r="9" spans="1:12" ht="18" customHeight="1" x14ac:dyDescent="0.25">
      <c r="A9" s="2431" t="s">
        <v>82</v>
      </c>
      <c r="B9" s="2431"/>
      <c r="C9" s="2431"/>
      <c r="D9" s="2431"/>
      <c r="E9" s="2431"/>
      <c r="F9" s="2431"/>
      <c r="G9" s="2431"/>
      <c r="H9" s="2431"/>
      <c r="I9" s="2431"/>
      <c r="J9" s="2431"/>
      <c r="K9" s="2431"/>
    </row>
    <row r="10" spans="1:12" ht="12.75" customHeight="1" x14ac:dyDescent="0.25">
      <c r="A10" s="45"/>
      <c r="B10" s="46"/>
      <c r="C10" s="46"/>
      <c r="D10" s="46"/>
      <c r="E10" s="46"/>
      <c r="F10" s="45"/>
      <c r="G10" s="45"/>
      <c r="H10" s="45"/>
      <c r="I10" s="45"/>
      <c r="J10" s="45"/>
      <c r="K10" s="45"/>
    </row>
    <row r="11" spans="1:12" ht="21" customHeight="1" x14ac:dyDescent="0.25">
      <c r="A11" s="45"/>
      <c r="B11" s="2435" t="s">
        <v>83</v>
      </c>
      <c r="C11" s="2436"/>
      <c r="D11" s="2436"/>
      <c r="E11" s="2436"/>
      <c r="F11" s="444" t="s">
        <v>64</v>
      </c>
      <c r="G11" s="444" t="s">
        <v>16</v>
      </c>
      <c r="H11" s="52" t="s">
        <v>133</v>
      </c>
      <c r="I11" s="45"/>
      <c r="J11" s="45"/>
      <c r="K11" s="45"/>
    </row>
    <row r="12" spans="1:12" ht="39" customHeight="1" x14ac:dyDescent="0.25">
      <c r="A12" s="45"/>
      <c r="B12" s="1832" t="s">
        <v>364</v>
      </c>
      <c r="C12" s="2067"/>
      <c r="D12" s="2067"/>
      <c r="E12" s="2068"/>
      <c r="F12" s="167">
        <v>1</v>
      </c>
      <c r="G12" s="281">
        <f>C63</f>
        <v>0</v>
      </c>
      <c r="H12" s="281" t="str">
        <f>C64</f>
        <v>No</v>
      </c>
      <c r="I12" s="45"/>
      <c r="J12" s="45"/>
      <c r="K12" s="45"/>
      <c r="L12" s="35" t="str">
        <f>IF(G12&lt;&gt;0,IF(H12="No","No","Yes"),"Yes")</f>
        <v>Yes</v>
      </c>
    </row>
    <row r="13" spans="1:12" ht="27" customHeight="1" x14ac:dyDescent="0.25">
      <c r="A13" s="45"/>
      <c r="B13" s="1832" t="s">
        <v>365</v>
      </c>
      <c r="C13" s="2067" t="s">
        <v>62</v>
      </c>
      <c r="D13" s="2067" t="s">
        <v>62</v>
      </c>
      <c r="E13" s="2068" t="s">
        <v>62</v>
      </c>
      <c r="F13" s="167">
        <v>1</v>
      </c>
      <c r="G13" s="281">
        <f>C87</f>
        <v>0</v>
      </c>
      <c r="H13" s="281" t="str">
        <f>C88</f>
        <v>No</v>
      </c>
      <c r="I13" s="45"/>
      <c r="J13" s="45"/>
      <c r="K13" s="45"/>
      <c r="L13" s="35" t="str">
        <f t="shared" ref="L13:L15" si="0">IF(G13&lt;&gt;0,IF(H13="No","No","Yes"),"Yes")</f>
        <v>Yes</v>
      </c>
    </row>
    <row r="14" spans="1:12" ht="27" customHeight="1" x14ac:dyDescent="0.25">
      <c r="A14" s="45"/>
      <c r="B14" s="1832" t="s">
        <v>367</v>
      </c>
      <c r="C14" s="2067" t="s">
        <v>63</v>
      </c>
      <c r="D14" s="2067" t="s">
        <v>63</v>
      </c>
      <c r="E14" s="2068" t="s">
        <v>63</v>
      </c>
      <c r="F14" s="167">
        <v>1</v>
      </c>
      <c r="G14" s="281">
        <f>C126</f>
        <v>0</v>
      </c>
      <c r="H14" s="281" t="str">
        <f>C127</f>
        <v>No</v>
      </c>
      <c r="I14" s="45"/>
      <c r="J14" s="45"/>
      <c r="K14" s="45"/>
      <c r="L14" s="35" t="str">
        <f t="shared" si="0"/>
        <v>Yes</v>
      </c>
    </row>
    <row r="15" spans="1:12" ht="27" customHeight="1" x14ac:dyDescent="0.25">
      <c r="A15" s="45"/>
      <c r="B15" s="1832" t="s">
        <v>366</v>
      </c>
      <c r="C15" s="2067" t="s">
        <v>66</v>
      </c>
      <c r="D15" s="2067" t="s">
        <v>66</v>
      </c>
      <c r="E15" s="2068" t="s">
        <v>66</v>
      </c>
      <c r="F15" s="167">
        <v>1</v>
      </c>
      <c r="G15" s="281">
        <f>C167</f>
        <v>0</v>
      </c>
      <c r="H15" s="281" t="str">
        <f>C168</f>
        <v>No</v>
      </c>
      <c r="I15" s="45"/>
      <c r="J15" s="45"/>
      <c r="K15" s="45"/>
      <c r="L15" s="35" t="str">
        <f t="shared" si="0"/>
        <v>Yes</v>
      </c>
    </row>
    <row r="16" spans="1:12" ht="18" customHeight="1" x14ac:dyDescent="0.25">
      <c r="A16" s="45"/>
      <c r="B16" s="1810" t="s">
        <v>25</v>
      </c>
      <c r="C16" s="1811"/>
      <c r="D16" s="1811"/>
      <c r="E16" s="1812"/>
      <c r="F16" s="498">
        <v>2</v>
      </c>
      <c r="G16" s="498">
        <f>MIN(2,SUM(G12:G15))</f>
        <v>0</v>
      </c>
      <c r="H16" s="498" t="str">
        <f>IF(COUNTIF(H12:H15,"No")=4,"No",IF(COUNTIF(L12:L15,"Yes")=4,"Yes","No"))</f>
        <v>No</v>
      </c>
      <c r="I16" s="45"/>
      <c r="J16" s="45"/>
      <c r="K16" s="45"/>
    </row>
    <row r="17" spans="1:13" ht="18.75" customHeight="1" x14ac:dyDescent="0.25">
      <c r="A17" s="45"/>
      <c r="B17" s="46"/>
      <c r="C17" s="46"/>
      <c r="D17" s="46"/>
      <c r="E17" s="46"/>
      <c r="F17" s="45"/>
      <c r="G17" s="630" t="str">
        <f>IFERROR(IF(G12+G13+G14+G15&gt;2,"→ One EP-1 point can be targeted",""),"")</f>
        <v/>
      </c>
      <c r="H17" s="45"/>
      <c r="I17" s="45"/>
      <c r="J17" s="45"/>
      <c r="K17" s="45"/>
    </row>
    <row r="18" spans="1:13" ht="18" customHeight="1" x14ac:dyDescent="0.25">
      <c r="A18" s="2431" t="s">
        <v>368</v>
      </c>
      <c r="B18" s="2431"/>
      <c r="C18" s="2431"/>
      <c r="D18" s="2431"/>
      <c r="E18" s="2431"/>
      <c r="F18" s="2431"/>
      <c r="G18" s="2431"/>
      <c r="H18" s="2431"/>
      <c r="I18" s="2431"/>
      <c r="J18" s="2431"/>
      <c r="K18" s="2431"/>
    </row>
    <row r="19" spans="1:13" x14ac:dyDescent="0.25">
      <c r="A19" s="45"/>
      <c r="B19" s="46"/>
      <c r="C19" s="46"/>
      <c r="D19" s="46"/>
      <c r="E19" s="46"/>
      <c r="F19" s="45"/>
      <c r="G19" s="45"/>
      <c r="H19" s="45"/>
      <c r="I19" s="45"/>
      <c r="J19" s="45"/>
      <c r="K19" s="45"/>
    </row>
    <row r="20" spans="1:13" ht="16.5" customHeight="1" x14ac:dyDescent="0.25">
      <c r="A20" s="2429" t="s">
        <v>102</v>
      </c>
      <c r="B20" s="2429"/>
      <c r="C20" s="2429"/>
      <c r="D20" s="46"/>
      <c r="E20" s="46"/>
      <c r="F20" s="46"/>
      <c r="G20" s="46"/>
      <c r="H20" s="46"/>
      <c r="I20" s="46"/>
      <c r="J20" s="46"/>
      <c r="K20" s="46"/>
    </row>
    <row r="21" spans="1:13" ht="12" customHeight="1" x14ac:dyDescent="0.25">
      <c r="A21" s="45"/>
      <c r="B21" s="46"/>
      <c r="C21" s="46"/>
      <c r="D21" s="46"/>
      <c r="E21" s="46"/>
      <c r="F21" s="45"/>
      <c r="G21" s="45"/>
      <c r="H21" s="45"/>
      <c r="I21" s="45"/>
      <c r="J21" s="45"/>
      <c r="K21" s="45"/>
    </row>
    <row r="22" spans="1:13" ht="15" customHeight="1" x14ac:dyDescent="0.25">
      <c r="A22" s="45"/>
      <c r="B22" s="2193" t="s">
        <v>1898</v>
      </c>
      <c r="C22" s="2193"/>
      <c r="D22" s="2193"/>
      <c r="E22" s="2193"/>
      <c r="F22" s="2193"/>
      <c r="G22" s="2193"/>
      <c r="H22" s="2193"/>
      <c r="I22" s="2193"/>
      <c r="J22" s="2193"/>
      <c r="K22" s="45"/>
    </row>
    <row r="23" spans="1:13" ht="18" customHeight="1" x14ac:dyDescent="0.25">
      <c r="A23" s="45"/>
      <c r="B23" s="2430"/>
      <c r="C23" s="2430"/>
      <c r="D23" s="2430"/>
      <c r="E23" s="2430"/>
      <c r="F23" s="2430"/>
      <c r="G23" s="2430"/>
      <c r="H23" s="2430"/>
      <c r="I23" s="2430"/>
      <c r="J23" s="2430"/>
      <c r="K23" s="45"/>
    </row>
    <row r="24" spans="1:13" ht="15" customHeight="1" x14ac:dyDescent="0.25">
      <c r="A24" s="45"/>
      <c r="B24" s="535" t="s">
        <v>1910</v>
      </c>
      <c r="C24" s="647"/>
      <c r="D24" s="647"/>
      <c r="E24" s="647"/>
      <c r="F24" s="835"/>
      <c r="G24" s="647"/>
      <c r="H24" s="647"/>
      <c r="I24" s="647"/>
      <c r="J24" s="647"/>
      <c r="K24" s="45"/>
    </row>
    <row r="25" spans="1:13" x14ac:dyDescent="0.25">
      <c r="A25" s="45"/>
      <c r="B25" s="649"/>
      <c r="C25" s="647"/>
      <c r="D25" s="647"/>
      <c r="E25" s="647"/>
      <c r="F25" s="835"/>
      <c r="G25" s="647"/>
      <c r="H25" s="647"/>
      <c r="I25" s="647"/>
      <c r="J25" s="647"/>
      <c r="K25" s="45"/>
    </row>
    <row r="26" spans="1:13" x14ac:dyDescent="0.25">
      <c r="A26" s="45"/>
      <c r="B26" s="860" t="s">
        <v>1916</v>
      </c>
      <c r="C26" s="1153"/>
      <c r="D26" s="1153"/>
      <c r="E26" s="1153"/>
      <c r="F26" s="835"/>
      <c r="G26" s="1153"/>
      <c r="H26" s="1153"/>
      <c r="I26" s="1153"/>
      <c r="J26" s="1153"/>
      <c r="K26" s="45"/>
    </row>
    <row r="27" spans="1:13" x14ac:dyDescent="0.25">
      <c r="A27" s="45"/>
      <c r="B27" s="649"/>
      <c r="C27" s="1153"/>
      <c r="D27" s="1153"/>
      <c r="E27" s="1153"/>
      <c r="F27" s="835"/>
      <c r="G27" s="1153"/>
      <c r="H27" s="1153"/>
      <c r="I27" s="1153"/>
      <c r="J27" s="1153"/>
      <c r="K27" s="45"/>
    </row>
    <row r="28" spans="1:13" ht="16.5" customHeight="1" x14ac:dyDescent="0.25">
      <c r="A28" s="45"/>
      <c r="B28" s="414" t="s">
        <v>1917</v>
      </c>
      <c r="C28" s="112"/>
      <c r="D28" s="112"/>
      <c r="E28" s="112"/>
      <c r="F28" s="112"/>
      <c r="G28" s="112"/>
      <c r="H28" s="112"/>
      <c r="I28" s="112"/>
      <c r="J28" s="45"/>
      <c r="K28" s="45"/>
    </row>
    <row r="29" spans="1:13" ht="18" customHeight="1" x14ac:dyDescent="0.25">
      <c r="A29" s="45"/>
      <c r="B29" s="2443" t="s">
        <v>2620</v>
      </c>
      <c r="C29" s="2444"/>
      <c r="D29" s="2444"/>
      <c r="E29" s="1165" t="s">
        <v>880</v>
      </c>
      <c r="F29" s="2452" t="s">
        <v>881</v>
      </c>
      <c r="G29" s="2452"/>
      <c r="H29" s="2452"/>
      <c r="I29" s="2453"/>
      <c r="J29" s="45"/>
      <c r="K29" s="45"/>
    </row>
    <row r="30" spans="1:13" ht="39" customHeight="1" x14ac:dyDescent="0.25">
      <c r="A30" s="45"/>
      <c r="B30" s="1634"/>
      <c r="C30" s="1634"/>
      <c r="D30" s="1634"/>
      <c r="E30" s="1151" t="s">
        <v>1922</v>
      </c>
      <c r="F30" s="2449"/>
      <c r="G30" s="2450"/>
      <c r="H30" s="2450"/>
      <c r="I30" s="2451"/>
      <c r="J30" s="45"/>
      <c r="K30" s="45"/>
      <c r="L30" s="35" t="str">
        <f>IF(AND(B30&lt;&gt;"",E30="Yes",F30&lt;&gt;""),"Yes","No")</f>
        <v>No</v>
      </c>
    </row>
    <row r="31" spans="1:13" ht="39" customHeight="1" x14ac:dyDescent="0.25">
      <c r="A31" s="45"/>
      <c r="B31" s="1634"/>
      <c r="C31" s="1634"/>
      <c r="D31" s="1634"/>
      <c r="E31" s="1151" t="s">
        <v>1922</v>
      </c>
      <c r="F31" s="2449"/>
      <c r="G31" s="2450"/>
      <c r="H31" s="2450"/>
      <c r="I31" s="2451"/>
      <c r="J31" s="45"/>
      <c r="K31" s="45"/>
      <c r="L31" s="35" t="str">
        <f>IF(AND(B31&lt;&gt;"",E31="Yes",F31&lt;&gt;""),"Yes","No")</f>
        <v>No</v>
      </c>
      <c r="M31" s="35" t="str">
        <f>IF(OR(L30="Yes",L31="Yes"),"Yes","No")</f>
        <v>No</v>
      </c>
    </row>
    <row r="32" spans="1:13" x14ac:dyDescent="0.25">
      <c r="A32" s="45"/>
      <c r="B32" s="46"/>
      <c r="C32" s="46"/>
      <c r="D32" s="46"/>
      <c r="E32" s="46"/>
      <c r="F32" s="45"/>
      <c r="G32" s="45"/>
      <c r="H32" s="45"/>
      <c r="I32" s="45"/>
      <c r="J32" s="45"/>
      <c r="K32" s="45"/>
    </row>
    <row r="33" spans="1:13" ht="16.5" customHeight="1" x14ac:dyDescent="0.25">
      <c r="A33" s="45"/>
      <c r="B33" s="414" t="s">
        <v>1918</v>
      </c>
      <c r="C33" s="414"/>
      <c r="D33" s="414"/>
      <c r="E33" s="414"/>
      <c r="F33" s="414"/>
      <c r="G33" s="414"/>
      <c r="H33" s="414"/>
      <c r="I33" s="414"/>
      <c r="J33" s="45"/>
      <c r="K33" s="45"/>
    </row>
    <row r="34" spans="1:13" ht="16.5" customHeight="1" x14ac:dyDescent="0.25">
      <c r="A34" s="45"/>
      <c r="B34" s="2443" t="s">
        <v>2620</v>
      </c>
      <c r="C34" s="2444"/>
      <c r="D34" s="2444"/>
      <c r="E34" s="1165" t="s">
        <v>880</v>
      </c>
      <c r="F34" s="2452" t="s">
        <v>881</v>
      </c>
      <c r="G34" s="2452"/>
      <c r="H34" s="2452"/>
      <c r="I34" s="2453"/>
      <c r="J34" s="45"/>
      <c r="K34" s="45"/>
    </row>
    <row r="35" spans="1:13" ht="39" customHeight="1" x14ac:dyDescent="0.25">
      <c r="A35" s="45"/>
      <c r="B35" s="1634"/>
      <c r="C35" s="1634"/>
      <c r="D35" s="1634"/>
      <c r="E35" s="1151" t="s">
        <v>1922</v>
      </c>
      <c r="F35" s="2449"/>
      <c r="G35" s="2450"/>
      <c r="H35" s="2450"/>
      <c r="I35" s="2451"/>
      <c r="J35" s="45"/>
      <c r="K35" s="45"/>
      <c r="L35" s="35" t="str">
        <f>IF(AND(B35&lt;&gt;"",E35="Yes",F35&lt;&gt;""),"Yes","No")</f>
        <v>No</v>
      </c>
    </row>
    <row r="36" spans="1:13" ht="39" customHeight="1" x14ac:dyDescent="0.25">
      <c r="A36" s="45"/>
      <c r="B36" s="1634"/>
      <c r="C36" s="1634"/>
      <c r="D36" s="1634"/>
      <c r="E36" s="1151" t="s">
        <v>1922</v>
      </c>
      <c r="F36" s="2449"/>
      <c r="G36" s="2450"/>
      <c r="H36" s="2450"/>
      <c r="I36" s="2451"/>
      <c r="J36" s="45"/>
      <c r="K36" s="45"/>
      <c r="L36" s="35" t="str">
        <f>IF(AND(B36&lt;&gt;"",E36="Yes",F36&lt;&gt;""),"Yes","No")</f>
        <v>No</v>
      </c>
      <c r="M36" s="35" t="str">
        <f>IF(OR(L35="Yes",L36="Yes"),"Yes","No")</f>
        <v>No</v>
      </c>
    </row>
    <row r="37" spans="1:13" x14ac:dyDescent="0.25">
      <c r="A37" s="45"/>
      <c r="B37" s="45"/>
      <c r="C37" s="45"/>
      <c r="D37" s="45"/>
      <c r="E37" s="45"/>
      <c r="F37" s="45"/>
      <c r="G37" s="45"/>
      <c r="H37" s="45"/>
      <c r="I37" s="45"/>
      <c r="J37" s="45"/>
      <c r="K37" s="45"/>
    </row>
    <row r="38" spans="1:13" ht="15" customHeight="1" x14ac:dyDescent="0.25">
      <c r="A38" s="45"/>
      <c r="B38" s="414" t="s">
        <v>1919</v>
      </c>
      <c r="C38" s="414"/>
      <c r="D38" s="414"/>
      <c r="E38" s="414"/>
      <c r="F38" s="414"/>
      <c r="G38" s="414"/>
      <c r="H38" s="414"/>
      <c r="I38" s="414"/>
      <c r="J38" s="45"/>
      <c r="K38" s="45"/>
    </row>
    <row r="39" spans="1:13" ht="18" customHeight="1" x14ac:dyDescent="0.25">
      <c r="A39" s="45"/>
      <c r="B39" s="2443" t="s">
        <v>879</v>
      </c>
      <c r="C39" s="2444"/>
      <c r="D39" s="2444"/>
      <c r="E39" s="1165" t="s">
        <v>880</v>
      </c>
      <c r="F39" s="2452" t="s">
        <v>881</v>
      </c>
      <c r="G39" s="2452"/>
      <c r="H39" s="2452"/>
      <c r="I39" s="2453"/>
      <c r="J39" s="45"/>
      <c r="K39" s="45"/>
    </row>
    <row r="40" spans="1:13" ht="39" customHeight="1" x14ac:dyDescent="0.25">
      <c r="A40" s="45"/>
      <c r="B40" s="1634"/>
      <c r="C40" s="1634"/>
      <c r="D40" s="1634"/>
      <c r="E40" s="1151" t="s">
        <v>1922</v>
      </c>
      <c r="F40" s="2449"/>
      <c r="G40" s="2450"/>
      <c r="H40" s="2450"/>
      <c r="I40" s="2451"/>
      <c r="J40" s="45"/>
      <c r="K40" s="45"/>
      <c r="L40" s="35" t="str">
        <f>IF(AND(B40&lt;&gt;"",E40="Yes",F40&lt;&gt;""),"Yes","No")</f>
        <v>No</v>
      </c>
    </row>
    <row r="41" spans="1:13" ht="39" customHeight="1" x14ac:dyDescent="0.25">
      <c r="A41" s="45"/>
      <c r="B41" s="1634"/>
      <c r="C41" s="1634"/>
      <c r="D41" s="1634"/>
      <c r="E41" s="1151" t="s">
        <v>1922</v>
      </c>
      <c r="F41" s="2449"/>
      <c r="G41" s="2450"/>
      <c r="H41" s="2450"/>
      <c r="I41" s="2451"/>
      <c r="J41" s="45"/>
      <c r="K41" s="45"/>
      <c r="L41" s="35" t="str">
        <f>IF(AND(B41&lt;&gt;"",E41="Yes",F41&lt;&gt;""),"Yes","No")</f>
        <v>No</v>
      </c>
      <c r="M41" s="35" t="str">
        <f>IF(OR(L40="Yes",L41="Yes"),"Yes","No")</f>
        <v>No</v>
      </c>
    </row>
    <row r="42" spans="1:13" x14ac:dyDescent="0.25">
      <c r="A42" s="45"/>
      <c r="B42" s="45"/>
      <c r="C42" s="45"/>
      <c r="D42" s="45"/>
      <c r="E42" s="45"/>
      <c r="F42" s="45"/>
      <c r="G42" s="45"/>
      <c r="H42" s="45"/>
      <c r="I42" s="45"/>
      <c r="J42" s="45"/>
      <c r="K42" s="45"/>
    </row>
    <row r="43" spans="1:13" ht="15" customHeight="1" x14ac:dyDescent="0.25">
      <c r="A43" s="45"/>
      <c r="B43" s="414" t="s">
        <v>1920</v>
      </c>
      <c r="C43" s="414"/>
      <c r="D43" s="414"/>
      <c r="E43" s="414"/>
      <c r="F43" s="414"/>
      <c r="G43" s="414"/>
      <c r="H43" s="414"/>
      <c r="I43" s="414"/>
      <c r="J43" s="45"/>
      <c r="K43" s="45"/>
    </row>
    <row r="44" spans="1:13" ht="18" customHeight="1" x14ac:dyDescent="0.25">
      <c r="A44" s="45"/>
      <c r="B44" s="2443" t="s">
        <v>2620</v>
      </c>
      <c r="C44" s="2444"/>
      <c r="D44" s="2444"/>
      <c r="E44" s="1165" t="s">
        <v>880</v>
      </c>
      <c r="F44" s="2452" t="s">
        <v>881</v>
      </c>
      <c r="G44" s="2452"/>
      <c r="H44" s="2452"/>
      <c r="I44" s="2453"/>
      <c r="J44" s="45"/>
      <c r="K44" s="45"/>
    </row>
    <row r="45" spans="1:13" ht="39" customHeight="1" x14ac:dyDescent="0.25">
      <c r="A45" s="45"/>
      <c r="B45" s="1634"/>
      <c r="C45" s="1634"/>
      <c r="D45" s="1634"/>
      <c r="E45" s="1151" t="s">
        <v>1922</v>
      </c>
      <c r="F45" s="2449"/>
      <c r="G45" s="2450"/>
      <c r="H45" s="2450"/>
      <c r="I45" s="2451"/>
      <c r="J45" s="45"/>
      <c r="K45" s="45"/>
      <c r="L45" s="35" t="str">
        <f>IF(AND(B45&lt;&gt;"",E45="Yes",F45&lt;&gt;""),"Yes","No")</f>
        <v>No</v>
      </c>
    </row>
    <row r="46" spans="1:13" ht="39" customHeight="1" x14ac:dyDescent="0.25">
      <c r="A46" s="45"/>
      <c r="B46" s="1634"/>
      <c r="C46" s="1634"/>
      <c r="D46" s="1634"/>
      <c r="E46" s="1151" t="s">
        <v>1922</v>
      </c>
      <c r="F46" s="2449"/>
      <c r="G46" s="2450"/>
      <c r="H46" s="2450"/>
      <c r="I46" s="2451"/>
      <c r="J46" s="45"/>
      <c r="K46" s="45"/>
      <c r="L46" s="35" t="str">
        <f>IF(AND(B46&lt;&gt;"",E46="Yes",F46&lt;&gt;""),"Yes","No")</f>
        <v>No</v>
      </c>
      <c r="M46" s="35" t="str">
        <f>IF(OR(L45="Yes",L46="Yes"),"Yes","No")</f>
        <v>No</v>
      </c>
    </row>
    <row r="47" spans="1:13" x14ac:dyDescent="0.25">
      <c r="A47" s="45"/>
      <c r="B47" s="45"/>
      <c r="C47" s="45"/>
      <c r="D47" s="45"/>
      <c r="E47" s="45"/>
      <c r="F47" s="45"/>
      <c r="G47" s="45"/>
      <c r="H47" s="45"/>
      <c r="I47" s="45"/>
      <c r="J47" s="45"/>
      <c r="K47" s="45"/>
    </row>
    <row r="48" spans="1:13" ht="15" customHeight="1" x14ac:dyDescent="0.25">
      <c r="A48" s="45"/>
      <c r="B48" s="414" t="s">
        <v>1921</v>
      </c>
      <c r="C48" s="414"/>
      <c r="D48" s="414"/>
      <c r="E48" s="414"/>
      <c r="F48" s="414"/>
      <c r="G48" s="414"/>
      <c r="H48" s="414"/>
      <c r="I48" s="414"/>
      <c r="J48" s="45"/>
      <c r="K48" s="45"/>
    </row>
    <row r="49" spans="1:13" ht="18" customHeight="1" x14ac:dyDescent="0.25">
      <c r="A49" s="45"/>
      <c r="B49" s="2443" t="s">
        <v>2620</v>
      </c>
      <c r="C49" s="2444"/>
      <c r="D49" s="2444"/>
      <c r="E49" s="1165" t="s">
        <v>880</v>
      </c>
      <c r="F49" s="2452" t="s">
        <v>881</v>
      </c>
      <c r="G49" s="2452"/>
      <c r="H49" s="2452"/>
      <c r="I49" s="2453"/>
      <c r="J49" s="45"/>
      <c r="K49" s="45"/>
    </row>
    <row r="50" spans="1:13" ht="39" customHeight="1" x14ac:dyDescent="0.25">
      <c r="A50" s="45"/>
      <c r="B50" s="1634"/>
      <c r="C50" s="1634"/>
      <c r="D50" s="1634"/>
      <c r="E50" s="1151" t="s">
        <v>1922</v>
      </c>
      <c r="F50" s="2449"/>
      <c r="G50" s="2450"/>
      <c r="H50" s="2450"/>
      <c r="I50" s="2451"/>
      <c r="J50" s="45"/>
      <c r="K50" s="45"/>
      <c r="L50" s="35" t="str">
        <f>IF(AND(B50&lt;&gt;"",E50="Yes",F50&lt;&gt;""),"Yes","No")</f>
        <v>No</v>
      </c>
    </row>
    <row r="51" spans="1:13" ht="39" customHeight="1" x14ac:dyDescent="0.25">
      <c r="A51" s="45"/>
      <c r="B51" s="1634"/>
      <c r="C51" s="1634"/>
      <c r="D51" s="1634"/>
      <c r="E51" s="1151" t="s">
        <v>1922</v>
      </c>
      <c r="F51" s="2449"/>
      <c r="G51" s="2450"/>
      <c r="H51" s="2450"/>
      <c r="I51" s="2451"/>
      <c r="J51" s="45"/>
      <c r="K51" s="45"/>
      <c r="L51" s="35" t="str">
        <f>IF(AND(B51&lt;&gt;"",E51="Yes",F51&lt;&gt;""),"Yes","No")</f>
        <v>No</v>
      </c>
      <c r="M51" s="35" t="str">
        <f>IF(OR(L50="Yes",L51="Yes"),"Yes","No")</f>
        <v>No</v>
      </c>
    </row>
    <row r="52" spans="1:13" x14ac:dyDescent="0.25">
      <c r="A52" s="45"/>
      <c r="B52" s="45"/>
      <c r="C52" s="45"/>
      <c r="D52" s="45"/>
      <c r="E52" s="45"/>
      <c r="F52" s="45"/>
      <c r="G52" s="45"/>
      <c r="H52" s="45"/>
      <c r="I52" s="45"/>
      <c r="J52" s="45"/>
      <c r="K52" s="45"/>
    </row>
    <row r="53" spans="1:13" ht="18.75" customHeight="1" x14ac:dyDescent="0.25">
      <c r="A53" s="45"/>
      <c r="B53" s="2434" t="s">
        <v>1432</v>
      </c>
      <c r="C53" s="2434"/>
      <c r="D53" s="2434"/>
      <c r="E53" s="144" t="str">
        <f>IF(COUNTIF(M31:M51,"Yes")&gt;=4,"Yes","No")</f>
        <v>No</v>
      </c>
      <c r="F53" s="45"/>
      <c r="G53" s="45"/>
      <c r="H53" s="45"/>
      <c r="I53" s="45"/>
      <c r="J53" s="45"/>
      <c r="K53" s="45"/>
    </row>
    <row r="54" spans="1:13" ht="20.25" customHeight="1" x14ac:dyDescent="0.25">
      <c r="A54" s="45"/>
      <c r="B54" s="45"/>
      <c r="C54" s="45"/>
      <c r="D54" s="45"/>
      <c r="E54" s="45"/>
      <c r="F54" s="45"/>
      <c r="G54" s="45"/>
      <c r="H54" s="45"/>
      <c r="I54" s="45"/>
      <c r="J54" s="45"/>
      <c r="K54" s="45"/>
    </row>
    <row r="55" spans="1:13" ht="16.5" customHeight="1" x14ac:dyDescent="0.25">
      <c r="A55" s="2429" t="s">
        <v>84</v>
      </c>
      <c r="B55" s="2429"/>
      <c r="C55" s="2429"/>
      <c r="D55" s="46"/>
      <c r="E55" s="46"/>
      <c r="F55" s="46"/>
      <c r="G55" s="46"/>
      <c r="H55" s="46"/>
      <c r="I55" s="46"/>
      <c r="J55" s="46"/>
      <c r="K55" s="46"/>
    </row>
    <row r="56" spans="1:13" x14ac:dyDescent="0.25">
      <c r="A56" s="45"/>
      <c r="B56" s="46"/>
      <c r="C56" s="46"/>
      <c r="D56" s="46"/>
      <c r="E56" s="45"/>
      <c r="F56" s="45"/>
      <c r="G56" s="45"/>
      <c r="H56" s="45"/>
      <c r="I56" s="45"/>
      <c r="J56" s="45"/>
      <c r="K56" s="45"/>
    </row>
    <row r="57" spans="1:13" ht="21" customHeight="1" x14ac:dyDescent="0.25">
      <c r="A57" s="45"/>
      <c r="B57" s="2419" t="s">
        <v>85</v>
      </c>
      <c r="C57" s="2420"/>
      <c r="D57" s="2420"/>
      <c r="E57" s="2420"/>
      <c r="F57" s="2420"/>
      <c r="G57" s="660" t="s">
        <v>907</v>
      </c>
      <c r="H57" s="2441" t="s">
        <v>908</v>
      </c>
      <c r="I57" s="2442"/>
      <c r="J57" s="45"/>
      <c r="K57" s="45"/>
    </row>
    <row r="58" spans="1:13" ht="28.5" customHeight="1" x14ac:dyDescent="0.25">
      <c r="A58" s="45"/>
      <c r="B58" s="2060" t="str">
        <f>Submittals!G140</f>
        <v>• Evidence showing each mitigation measure implemented to reduce IAQ impacts such as photographs, etc.</v>
      </c>
      <c r="C58" s="2061"/>
      <c r="D58" s="2061"/>
      <c r="E58" s="2061"/>
      <c r="F58" s="2062"/>
      <c r="G58" s="658" t="s">
        <v>53</v>
      </c>
      <c r="H58" s="1689"/>
      <c r="I58" s="1690"/>
      <c r="J58" s="45"/>
      <c r="K58" s="45"/>
      <c r="L58" s="35" t="str">
        <f>IF(OR(B58="/",B58="No evidence required at this submission stage"),"Yes",IF(G58="Submitted","Yes","No"))</f>
        <v>No</v>
      </c>
    </row>
    <row r="59" spans="1:13" ht="27" hidden="1" customHeight="1" x14ac:dyDescent="0.25">
      <c r="A59" s="45"/>
      <c r="B59" s="2060">
        <f>Submittals!G141</f>
        <v>0</v>
      </c>
      <c r="C59" s="2061"/>
      <c r="D59" s="2061"/>
      <c r="E59" s="2061"/>
      <c r="F59" s="2062"/>
      <c r="G59" s="658" t="s">
        <v>53</v>
      </c>
      <c r="H59" s="1739"/>
      <c r="I59" s="2103"/>
      <c r="J59" s="45"/>
      <c r="K59" s="45"/>
      <c r="L59" s="35" t="str">
        <f>IF(OR(B59="/",B59="No evidence required at this submission stage"),"Yes",IF(G59="Submitted","Yes","No"))</f>
        <v>No</v>
      </c>
    </row>
    <row r="60" spans="1:13" ht="19.5" customHeight="1" x14ac:dyDescent="0.25">
      <c r="A60" s="45"/>
      <c r="B60" s="46"/>
      <c r="C60" s="46"/>
      <c r="D60" s="46"/>
      <c r="E60" s="45"/>
      <c r="F60" s="45"/>
      <c r="G60" s="45"/>
      <c r="H60" s="45"/>
      <c r="I60" s="45"/>
      <c r="J60" s="45"/>
      <c r="K60" s="45"/>
    </row>
    <row r="61" spans="1:13" ht="16.5" customHeight="1" x14ac:dyDescent="0.25">
      <c r="A61" s="2429" t="s">
        <v>5</v>
      </c>
      <c r="B61" s="2429"/>
      <c r="C61" s="2429"/>
      <c r="D61" s="46"/>
      <c r="E61" s="46"/>
      <c r="F61" s="46"/>
      <c r="G61" s="46"/>
      <c r="H61" s="46"/>
      <c r="I61" s="46"/>
      <c r="J61" s="46"/>
      <c r="K61" s="46"/>
    </row>
    <row r="62" spans="1:13" ht="16.5" customHeight="1" x14ac:dyDescent="0.25">
      <c r="A62" s="45"/>
      <c r="B62" s="46"/>
      <c r="C62" s="46"/>
      <c r="D62" s="46"/>
      <c r="E62" s="46"/>
      <c r="F62" s="45"/>
      <c r="G62" s="45"/>
      <c r="H62" s="45"/>
      <c r="I62" s="45"/>
      <c r="J62" s="45"/>
      <c r="K62" s="45"/>
    </row>
    <row r="63" spans="1:13" ht="18" customHeight="1" x14ac:dyDescent="0.25">
      <c r="A63" s="45"/>
      <c r="B63" s="157" t="s">
        <v>16</v>
      </c>
      <c r="C63" s="8">
        <f>IF(E53="Yes",1,0)</f>
        <v>0</v>
      </c>
      <c r="D63" s="46"/>
      <c r="E63" s="45"/>
      <c r="F63" s="45"/>
      <c r="G63" s="45"/>
      <c r="H63" s="45"/>
      <c r="I63" s="45"/>
      <c r="J63" s="45"/>
      <c r="K63" s="45"/>
    </row>
    <row r="64" spans="1:13" ht="18" customHeight="1" x14ac:dyDescent="0.25">
      <c r="A64" s="45"/>
      <c r="B64" s="157" t="s">
        <v>133</v>
      </c>
      <c r="C64" s="108" t="str">
        <f>IF(AND(COUNTIF(L58:L58,"Yes")=1,C63&gt;0),"Yes","No")</f>
        <v>No</v>
      </c>
      <c r="D64" s="46"/>
      <c r="E64" s="46"/>
      <c r="F64" s="45"/>
      <c r="G64" s="45"/>
      <c r="H64" s="45"/>
      <c r="I64" s="45"/>
      <c r="J64" s="45"/>
      <c r="K64" s="45"/>
    </row>
    <row r="65" spans="1:11" ht="21" customHeight="1" x14ac:dyDescent="0.25">
      <c r="A65" s="45"/>
      <c r="B65" s="46"/>
      <c r="C65" s="46"/>
      <c r="D65" s="46"/>
      <c r="E65" s="46"/>
      <c r="F65" s="45"/>
      <c r="G65" s="45"/>
      <c r="H65" s="45"/>
      <c r="I65" s="45"/>
      <c r="J65" s="45"/>
      <c r="K65" s="45"/>
    </row>
    <row r="66" spans="1:11" ht="18" customHeight="1" x14ac:dyDescent="0.25">
      <c r="A66" s="2431" t="s">
        <v>369</v>
      </c>
      <c r="B66" s="2431"/>
      <c r="C66" s="2431"/>
      <c r="D66" s="2431"/>
      <c r="E66" s="2431"/>
      <c r="F66" s="2431"/>
      <c r="G66" s="2431"/>
      <c r="H66" s="2431"/>
      <c r="I66" s="2431"/>
      <c r="J66" s="2431"/>
      <c r="K66" s="2431"/>
    </row>
    <row r="67" spans="1:11" x14ac:dyDescent="0.25">
      <c r="A67" s="46"/>
      <c r="B67" s="46"/>
      <c r="C67" s="46"/>
      <c r="D67" s="46"/>
      <c r="E67" s="46"/>
      <c r="F67" s="45"/>
      <c r="G67" s="45"/>
      <c r="H67" s="45"/>
      <c r="I67" s="45"/>
      <c r="J67" s="45"/>
      <c r="K67" s="45"/>
    </row>
    <row r="68" spans="1:11" ht="16.5" customHeight="1" x14ac:dyDescent="0.25">
      <c r="A68" s="2429" t="s">
        <v>102</v>
      </c>
      <c r="B68" s="2429"/>
      <c r="C68" s="2429"/>
      <c r="D68" s="46"/>
      <c r="E68" s="46"/>
      <c r="F68" s="46"/>
      <c r="G68" s="46"/>
      <c r="H68" s="46"/>
      <c r="I68" s="46"/>
      <c r="J68" s="46"/>
      <c r="K68" s="46"/>
    </row>
    <row r="69" spans="1:11" ht="12" customHeight="1" x14ac:dyDescent="0.25">
      <c r="A69" s="45"/>
      <c r="B69" s="46"/>
      <c r="C69" s="46"/>
      <c r="D69" s="46"/>
      <c r="E69" s="46"/>
      <c r="F69" s="45"/>
      <c r="G69" s="45"/>
      <c r="H69" s="45"/>
      <c r="I69" s="45"/>
      <c r="J69" s="45"/>
      <c r="K69" s="45"/>
    </row>
    <row r="70" spans="1:11" ht="15" customHeight="1" x14ac:dyDescent="0.25">
      <c r="A70" s="45"/>
      <c r="B70" s="2193" t="s">
        <v>371</v>
      </c>
      <c r="C70" s="2193"/>
      <c r="D70" s="2193"/>
      <c r="E70" s="2193"/>
      <c r="F70" s="2193"/>
      <c r="G70" s="2193"/>
      <c r="H70" s="2193"/>
      <c r="I70" s="2193"/>
      <c r="J70" s="2193"/>
      <c r="K70" s="45"/>
    </row>
    <row r="71" spans="1:11" ht="18" customHeight="1" x14ac:dyDescent="0.25">
      <c r="A71" s="45"/>
      <c r="B71" s="307"/>
      <c r="C71" s="307"/>
      <c r="D71" s="307"/>
      <c r="E71" s="307"/>
      <c r="F71" s="307"/>
      <c r="G71" s="307"/>
      <c r="H71" s="307"/>
      <c r="I71" s="307"/>
      <c r="J71" s="307"/>
      <c r="K71" s="45"/>
    </row>
    <row r="72" spans="1:11" ht="15" customHeight="1" x14ac:dyDescent="0.25">
      <c r="A72" s="45"/>
      <c r="B72" s="535" t="s">
        <v>964</v>
      </c>
      <c r="C72" s="649"/>
      <c r="D72" s="649"/>
      <c r="E72" s="649"/>
      <c r="F72" s="649"/>
      <c r="G72" s="649"/>
      <c r="H72" s="649"/>
      <c r="I72" s="649"/>
      <c r="J72" s="649"/>
      <c r="K72" s="45"/>
    </row>
    <row r="73" spans="1:11" ht="11.25" customHeight="1" x14ac:dyDescent="0.25">
      <c r="A73" s="45"/>
      <c r="B73" s="649"/>
      <c r="C73" s="649"/>
      <c r="D73" s="649"/>
      <c r="E73" s="649"/>
      <c r="F73" s="649"/>
      <c r="G73" s="649"/>
      <c r="H73" s="649"/>
      <c r="I73" s="649"/>
      <c r="J73" s="649"/>
      <c r="K73" s="45"/>
    </row>
    <row r="74" spans="1:11" ht="18.75" customHeight="1" x14ac:dyDescent="0.25">
      <c r="A74" s="45"/>
      <c r="B74" s="1648" t="str">
        <f>IF('Project information'!$C$7="Certification stage","• Did the main contractor have a valid ISO14001 accreditation?","• Will the main contractor have a valid ISO14001 accreditation?")</f>
        <v>• Did the main contractor have a valid ISO14001 accreditation?</v>
      </c>
      <c r="C74" s="1649"/>
      <c r="D74" s="1649"/>
      <c r="E74" s="1650"/>
      <c r="F74" s="642" t="s">
        <v>53</v>
      </c>
      <c r="G74" s="649"/>
      <c r="H74" s="649"/>
      <c r="I74" s="649"/>
      <c r="J74" s="649"/>
      <c r="K74" s="45"/>
    </row>
    <row r="75" spans="1:11" ht="15" customHeight="1" x14ac:dyDescent="0.25">
      <c r="A75" s="45"/>
      <c r="B75" s="649"/>
      <c r="C75" s="649"/>
      <c r="D75" s="649"/>
      <c r="E75" s="649"/>
      <c r="F75" s="649"/>
      <c r="G75" s="649"/>
      <c r="H75" s="649"/>
      <c r="I75" s="649"/>
      <c r="J75" s="649"/>
      <c r="K75" s="45"/>
    </row>
    <row r="76" spans="1:11" ht="18" customHeight="1" x14ac:dyDescent="0.25">
      <c r="A76" s="45"/>
      <c r="B76" s="2432" t="s">
        <v>965</v>
      </c>
      <c r="C76" s="2433"/>
      <c r="D76" s="2152"/>
      <c r="E76" s="2154"/>
      <c r="F76" s="307"/>
      <c r="G76" s="307"/>
      <c r="H76" s="307"/>
      <c r="I76" s="307"/>
      <c r="J76" s="307"/>
      <c r="K76" s="45"/>
    </row>
    <row r="77" spans="1:11" ht="18.75" customHeight="1" x14ac:dyDescent="0.25">
      <c r="A77" s="45"/>
      <c r="B77" s="45"/>
      <c r="C77" s="45"/>
      <c r="D77" s="45"/>
      <c r="E77" s="45"/>
      <c r="F77" s="45"/>
      <c r="G77" s="45"/>
      <c r="H77" s="45"/>
      <c r="I77" s="45"/>
      <c r="J77" s="45"/>
      <c r="K77" s="45"/>
    </row>
    <row r="78" spans="1:11" ht="20.25" customHeight="1" x14ac:dyDescent="0.25">
      <c r="A78" s="45"/>
      <c r="B78" s="2434" t="s">
        <v>370</v>
      </c>
      <c r="C78" s="2434"/>
      <c r="D78" s="2434"/>
      <c r="E78" s="144" t="str">
        <f>IF(AND(F74="Yes",D76&lt;&gt;""),"Yes","No")</f>
        <v>No</v>
      </c>
      <c r="F78" s="45"/>
      <c r="G78" s="45"/>
      <c r="H78" s="45"/>
      <c r="I78" s="45"/>
      <c r="J78" s="45"/>
      <c r="K78" s="45"/>
    </row>
    <row r="79" spans="1:11" ht="19.5" customHeight="1" x14ac:dyDescent="0.25">
      <c r="A79" s="45"/>
      <c r="B79" s="46"/>
      <c r="C79" s="46"/>
      <c r="D79" s="46"/>
      <c r="E79" s="45"/>
      <c r="F79" s="45"/>
      <c r="G79" s="45"/>
      <c r="H79" s="45"/>
      <c r="I79" s="45"/>
      <c r="J79" s="45"/>
      <c r="K79" s="45"/>
    </row>
    <row r="80" spans="1:11" ht="16.5" customHeight="1" x14ac:dyDescent="0.25">
      <c r="A80" s="2429" t="s">
        <v>84</v>
      </c>
      <c r="B80" s="2429"/>
      <c r="C80" s="2429"/>
      <c r="D80" s="46"/>
      <c r="E80" s="46"/>
      <c r="F80" s="46"/>
      <c r="G80" s="46"/>
      <c r="H80" s="46"/>
      <c r="I80" s="46"/>
      <c r="J80" s="46"/>
      <c r="K80" s="46"/>
    </row>
    <row r="81" spans="1:12" x14ac:dyDescent="0.25">
      <c r="A81" s="45"/>
      <c r="B81" s="46"/>
      <c r="C81" s="46"/>
      <c r="D81" s="46"/>
      <c r="E81" s="45"/>
      <c r="F81" s="45"/>
      <c r="G81" s="45"/>
      <c r="H81" s="45"/>
      <c r="I81" s="45"/>
      <c r="J81" s="45"/>
      <c r="K81" s="45"/>
    </row>
    <row r="82" spans="1:12" ht="21" customHeight="1" x14ac:dyDescent="0.25">
      <c r="A82" s="45"/>
      <c r="B82" s="2419" t="s">
        <v>85</v>
      </c>
      <c r="C82" s="2420"/>
      <c r="D82" s="2420"/>
      <c r="E82" s="2420"/>
      <c r="F82" s="2420"/>
      <c r="G82" s="660" t="s">
        <v>907</v>
      </c>
      <c r="H82" s="2441" t="s">
        <v>908</v>
      </c>
      <c r="I82" s="2442"/>
      <c r="J82" s="45"/>
      <c r="K82" s="45"/>
    </row>
    <row r="83" spans="1:12" ht="27" customHeight="1" x14ac:dyDescent="0.25">
      <c r="A83" s="45"/>
      <c r="B83" s="2060" t="str">
        <f>Submittals!G142</f>
        <v>• Copy of the ISO 14001 certificate of the main contractor</v>
      </c>
      <c r="C83" s="2061"/>
      <c r="D83" s="2061"/>
      <c r="E83" s="2061"/>
      <c r="F83" s="2062"/>
      <c r="G83" s="657" t="s">
        <v>53</v>
      </c>
      <c r="H83" s="1689"/>
      <c r="I83" s="1690"/>
      <c r="J83" s="45"/>
      <c r="K83" s="45"/>
      <c r="L83" s="35" t="str">
        <f>IF(OR(B83="/",B83="No evidence required at this submission stage"),"Yes",IF(G83="Submitted","Yes","No"))</f>
        <v>No</v>
      </c>
    </row>
    <row r="84" spans="1:12" ht="19.5" customHeight="1" x14ac:dyDescent="0.25">
      <c r="A84" s="45"/>
      <c r="B84" s="46"/>
      <c r="C84" s="46"/>
      <c r="D84" s="46"/>
      <c r="E84" s="45"/>
      <c r="F84" s="45"/>
      <c r="G84" s="45"/>
      <c r="H84" s="45"/>
      <c r="I84" s="45"/>
      <c r="J84" s="45"/>
      <c r="K84" s="45"/>
    </row>
    <row r="85" spans="1:12" ht="16.5" customHeight="1" x14ac:dyDescent="0.25">
      <c r="A85" s="2429" t="s">
        <v>5</v>
      </c>
      <c r="B85" s="2429"/>
      <c r="C85" s="2429"/>
      <c r="D85" s="46"/>
      <c r="E85" s="46"/>
      <c r="F85" s="46"/>
      <c r="G85" s="46"/>
      <c r="H85" s="46"/>
      <c r="I85" s="46"/>
      <c r="J85" s="46"/>
      <c r="K85" s="46"/>
    </row>
    <row r="86" spans="1:12" ht="16.5" customHeight="1" x14ac:dyDescent="0.25">
      <c r="A86" s="45"/>
      <c r="B86" s="46"/>
      <c r="C86" s="46"/>
      <c r="D86" s="46"/>
      <c r="E86" s="46"/>
      <c r="F86" s="45"/>
      <c r="G86" s="45"/>
      <c r="H86" s="45"/>
      <c r="I86" s="45"/>
      <c r="J86" s="45"/>
      <c r="K86" s="45"/>
    </row>
    <row r="87" spans="1:12" ht="18" customHeight="1" x14ac:dyDescent="0.25">
      <c r="A87" s="45"/>
      <c r="B87" s="143" t="s">
        <v>16</v>
      </c>
      <c r="C87" s="108">
        <f>IF(E78="Yes",1,0)</f>
        <v>0</v>
      </c>
      <c r="D87" s="46"/>
      <c r="E87" s="45"/>
      <c r="F87" s="45"/>
      <c r="G87" s="45"/>
      <c r="H87" s="45"/>
      <c r="I87" s="45"/>
      <c r="J87" s="45"/>
      <c r="K87" s="45"/>
    </row>
    <row r="88" spans="1:12" ht="18" customHeight="1" x14ac:dyDescent="0.25">
      <c r="A88" s="45"/>
      <c r="B88" s="143" t="s">
        <v>133</v>
      </c>
      <c r="C88" s="108" t="str">
        <f>IF(AND(COUNTIF(L83,"Yes")=1,C87&gt;0),"Yes","No")</f>
        <v>No</v>
      </c>
      <c r="D88" s="46"/>
      <c r="E88" s="46"/>
      <c r="F88" s="45"/>
      <c r="G88" s="45"/>
      <c r="H88" s="45"/>
      <c r="I88" s="45"/>
      <c r="J88" s="45"/>
      <c r="K88" s="45"/>
    </row>
    <row r="89" spans="1:12" ht="21" customHeight="1" x14ac:dyDescent="0.25">
      <c r="A89" s="45"/>
      <c r="B89" s="46"/>
      <c r="C89" s="46"/>
      <c r="D89" s="46"/>
      <c r="E89" s="46"/>
      <c r="F89" s="45"/>
      <c r="G89" s="45"/>
      <c r="H89" s="45"/>
      <c r="I89" s="45"/>
      <c r="J89" s="45"/>
      <c r="K89" s="45"/>
    </row>
    <row r="90" spans="1:12" ht="18" customHeight="1" x14ac:dyDescent="0.25">
      <c r="A90" s="2431" t="s">
        <v>147</v>
      </c>
      <c r="B90" s="2431"/>
      <c r="C90" s="2431"/>
      <c r="D90" s="2431"/>
      <c r="E90" s="2431"/>
      <c r="F90" s="2431"/>
      <c r="G90" s="2431"/>
      <c r="H90" s="2431"/>
      <c r="I90" s="2431"/>
      <c r="J90" s="2431"/>
      <c r="K90" s="2431"/>
    </row>
    <row r="91" spans="1:12" x14ac:dyDescent="0.25">
      <c r="A91" s="45"/>
      <c r="B91" s="45"/>
      <c r="C91" s="46"/>
      <c r="D91" s="46"/>
      <c r="E91" s="46"/>
      <c r="F91" s="45"/>
      <c r="G91" s="45"/>
      <c r="H91" s="45"/>
      <c r="I91" s="45"/>
      <c r="J91" s="45"/>
      <c r="K91" s="45"/>
    </row>
    <row r="92" spans="1:12" ht="16.5" customHeight="1" x14ac:dyDescent="0.25">
      <c r="A92" s="2429" t="s">
        <v>102</v>
      </c>
      <c r="B92" s="2429"/>
      <c r="C92" s="2429"/>
      <c r="D92" s="46"/>
      <c r="E92" s="46"/>
      <c r="F92" s="46"/>
      <c r="G92" s="46"/>
      <c r="H92" s="46"/>
      <c r="I92" s="46"/>
      <c r="J92" s="46"/>
      <c r="K92" s="46"/>
    </row>
    <row r="93" spans="1:12" ht="12" customHeight="1" x14ac:dyDescent="0.25">
      <c r="A93" s="45"/>
      <c r="B93" s="46"/>
      <c r="C93" s="46"/>
      <c r="D93" s="46"/>
      <c r="E93" s="46"/>
      <c r="F93" s="45"/>
      <c r="G93" s="45"/>
      <c r="H93" s="45"/>
      <c r="I93" s="45"/>
      <c r="J93" s="45"/>
      <c r="K93" s="45"/>
    </row>
    <row r="94" spans="1:12" ht="15" customHeight="1" x14ac:dyDescent="0.25">
      <c r="A94" s="45"/>
      <c r="B94" s="2193" t="s">
        <v>1478</v>
      </c>
      <c r="C94" s="2193"/>
      <c r="D94" s="2193"/>
      <c r="E94" s="2193"/>
      <c r="F94" s="2193"/>
      <c r="G94" s="2193"/>
      <c r="H94" s="2193"/>
      <c r="I94" s="2193"/>
      <c r="J94" s="2193"/>
      <c r="K94" s="45"/>
    </row>
    <row r="95" spans="1:12" ht="18" customHeight="1" x14ac:dyDescent="0.25">
      <c r="A95" s="45"/>
      <c r="B95" s="45"/>
      <c r="C95" s="46"/>
      <c r="D95" s="46"/>
      <c r="E95" s="46"/>
      <c r="F95" s="45"/>
      <c r="G95" s="45"/>
      <c r="H95" s="45"/>
      <c r="I95" s="45"/>
      <c r="J95" s="45"/>
      <c r="K95" s="45"/>
    </row>
    <row r="96" spans="1:12" x14ac:dyDescent="0.25">
      <c r="A96" s="45"/>
      <c r="B96" s="535" t="s">
        <v>883</v>
      </c>
      <c r="C96" s="46"/>
      <c r="D96" s="46"/>
      <c r="E96" s="46"/>
      <c r="F96" s="45"/>
      <c r="G96" s="45"/>
      <c r="H96" s="45"/>
      <c r="I96" s="45"/>
      <c r="J96" s="45"/>
      <c r="K96" s="45"/>
    </row>
    <row r="97" spans="1:11" ht="13.5" customHeight="1" x14ac:dyDescent="0.25">
      <c r="A97" s="45"/>
      <c r="B97" s="45"/>
      <c r="C97" s="46"/>
      <c r="D97" s="46"/>
      <c r="E97" s="46"/>
      <c r="F97" s="45"/>
      <c r="G97" s="45"/>
      <c r="H97" s="45"/>
      <c r="I97" s="45"/>
      <c r="J97" s="45"/>
      <c r="K97" s="45"/>
    </row>
    <row r="98" spans="1:11" x14ac:dyDescent="0.25">
      <c r="A98" s="45"/>
      <c r="B98" s="112" t="s">
        <v>1914</v>
      </c>
      <c r="C98" s="46"/>
      <c r="D98" s="46"/>
      <c r="E98" s="46"/>
      <c r="F98" s="45"/>
      <c r="G98" s="45"/>
      <c r="H98" s="45"/>
      <c r="I98" s="45"/>
      <c r="J98" s="45"/>
      <c r="K98" s="45"/>
    </row>
    <row r="99" spans="1:11" ht="33" customHeight="1" x14ac:dyDescent="0.25">
      <c r="A99" s="45"/>
      <c r="B99" s="2437" t="s">
        <v>148</v>
      </c>
      <c r="C99" s="2437"/>
      <c r="D99" s="2438"/>
      <c r="E99" s="2438"/>
      <c r="F99" s="2438"/>
      <c r="G99" s="2438"/>
      <c r="H99" s="2438"/>
      <c r="I99" s="45"/>
      <c r="J99" s="45"/>
      <c r="K99" s="45"/>
    </row>
    <row r="100" spans="1:11" x14ac:dyDescent="0.25">
      <c r="A100" s="45"/>
      <c r="B100" s="46"/>
      <c r="C100" s="46"/>
      <c r="D100" s="46"/>
      <c r="E100" s="46"/>
      <c r="F100" s="45"/>
      <c r="G100" s="45"/>
      <c r="H100" s="45"/>
      <c r="I100" s="45"/>
      <c r="J100" s="45"/>
      <c r="K100" s="45"/>
    </row>
    <row r="101" spans="1:11" x14ac:dyDescent="0.25">
      <c r="A101" s="45"/>
      <c r="B101" s="112" t="s">
        <v>1915</v>
      </c>
      <c r="C101" s="46"/>
      <c r="D101" s="46"/>
      <c r="E101" s="46"/>
      <c r="F101" s="45"/>
      <c r="G101" s="45"/>
      <c r="H101" s="45"/>
      <c r="I101" s="45"/>
      <c r="J101" s="45"/>
      <c r="K101" s="45"/>
    </row>
    <row r="102" spans="1:11" ht="33" customHeight="1" x14ac:dyDescent="0.25">
      <c r="A102" s="45"/>
      <c r="B102" s="2437" t="s">
        <v>149</v>
      </c>
      <c r="C102" s="2437"/>
      <c r="D102" s="2438"/>
      <c r="E102" s="2438"/>
      <c r="F102" s="2438"/>
      <c r="G102" s="2438"/>
      <c r="H102" s="2438"/>
      <c r="I102" s="45"/>
      <c r="J102" s="45"/>
      <c r="K102" s="45"/>
    </row>
    <row r="103" spans="1:11" x14ac:dyDescent="0.25">
      <c r="A103" s="45"/>
      <c r="B103" s="46"/>
      <c r="C103" s="46"/>
      <c r="D103" s="46"/>
      <c r="E103" s="46"/>
      <c r="F103" s="45"/>
      <c r="G103" s="45"/>
      <c r="H103" s="45"/>
      <c r="I103" s="45"/>
      <c r="J103" s="45"/>
      <c r="K103" s="45"/>
    </row>
    <row r="104" spans="1:11" ht="16.5" customHeight="1" x14ac:dyDescent="0.25">
      <c r="A104" s="45"/>
      <c r="B104" s="112" t="s">
        <v>1913</v>
      </c>
      <c r="C104" s="46"/>
      <c r="D104" s="46"/>
      <c r="E104" s="46"/>
      <c r="F104" s="45"/>
      <c r="G104" s="45"/>
      <c r="H104" s="45"/>
      <c r="I104" s="45"/>
      <c r="J104" s="45"/>
      <c r="K104" s="45"/>
    </row>
    <row r="105" spans="1:11" ht="18" customHeight="1" x14ac:dyDescent="0.25">
      <c r="A105" s="45"/>
      <c r="B105" s="2424" t="s">
        <v>2620</v>
      </c>
      <c r="C105" s="2425"/>
      <c r="D105" s="2425"/>
      <c r="E105" s="623" t="s">
        <v>880</v>
      </c>
      <c r="F105" s="1334" t="s">
        <v>881</v>
      </c>
      <c r="G105" s="1334"/>
      <c r="H105" s="1334"/>
      <c r="I105" s="1335"/>
      <c r="J105" s="45"/>
      <c r="K105" s="45"/>
    </row>
    <row r="106" spans="1:11" ht="57.75" customHeight="1" x14ac:dyDescent="0.25">
      <c r="A106" s="45"/>
      <c r="B106" s="2426" t="s">
        <v>882</v>
      </c>
      <c r="C106" s="2427"/>
      <c r="D106" s="2428"/>
      <c r="E106" s="602" t="s">
        <v>1895</v>
      </c>
      <c r="F106" s="2449"/>
      <c r="G106" s="2450"/>
      <c r="H106" s="2450"/>
      <c r="I106" s="2451"/>
      <c r="J106" s="45"/>
      <c r="K106" s="45"/>
    </row>
    <row r="107" spans="1:11" ht="18" customHeight="1" x14ac:dyDescent="0.25">
      <c r="A107" s="45"/>
      <c r="B107" s="2454" t="s">
        <v>1479</v>
      </c>
      <c r="C107" s="2455"/>
      <c r="D107" s="2455"/>
      <c r="E107" s="2455"/>
      <c r="F107" s="2455"/>
      <c r="G107" s="2455"/>
      <c r="H107" s="2455"/>
      <c r="I107" s="2455"/>
      <c r="J107" s="45"/>
      <c r="K107" s="45"/>
    </row>
    <row r="108" spans="1:11" ht="45" customHeight="1" x14ac:dyDescent="0.25">
      <c r="A108" s="45"/>
      <c r="B108" s="2413"/>
      <c r="C108" s="2414"/>
      <c r="D108" s="2415"/>
      <c r="E108" s="859" t="s">
        <v>53</v>
      </c>
      <c r="F108" s="2449"/>
      <c r="G108" s="2450"/>
      <c r="H108" s="2450"/>
      <c r="I108" s="2451"/>
      <c r="J108" s="45"/>
      <c r="K108" s="45"/>
    </row>
    <row r="109" spans="1:11" x14ac:dyDescent="0.25">
      <c r="A109" s="45"/>
      <c r="B109" s="45"/>
      <c r="C109" s="45"/>
      <c r="D109" s="45"/>
      <c r="E109" s="45"/>
      <c r="F109" s="45"/>
      <c r="G109" s="45"/>
      <c r="H109" s="45"/>
      <c r="I109" s="45"/>
      <c r="J109" s="45"/>
      <c r="K109" s="45"/>
    </row>
    <row r="110" spans="1:11" ht="16.5" customHeight="1" x14ac:dyDescent="0.25">
      <c r="A110" s="45"/>
      <c r="B110" s="112" t="s">
        <v>1912</v>
      </c>
      <c r="C110" s="45"/>
      <c r="D110" s="45"/>
      <c r="E110" s="45"/>
      <c r="F110" s="45"/>
      <c r="G110" s="45"/>
      <c r="H110" s="45"/>
      <c r="I110" s="45"/>
      <c r="J110" s="45"/>
      <c r="K110" s="45"/>
    </row>
    <row r="111" spans="1:11" ht="19.5" customHeight="1" x14ac:dyDescent="0.25">
      <c r="A111" s="45"/>
      <c r="B111" s="2424" t="s">
        <v>2620</v>
      </c>
      <c r="C111" s="2425"/>
      <c r="D111" s="2425"/>
      <c r="E111" s="623" t="s">
        <v>880</v>
      </c>
      <c r="F111" s="1334" t="s">
        <v>881</v>
      </c>
      <c r="G111" s="1334"/>
      <c r="H111" s="1334"/>
      <c r="I111" s="1335"/>
      <c r="J111" s="45"/>
      <c r="K111" s="45"/>
    </row>
    <row r="112" spans="1:11" ht="42" customHeight="1" x14ac:dyDescent="0.25">
      <c r="A112" s="45"/>
      <c r="B112" s="2421" t="s">
        <v>884</v>
      </c>
      <c r="C112" s="2422"/>
      <c r="D112" s="2423"/>
      <c r="E112" s="602" t="s">
        <v>53</v>
      </c>
      <c r="F112" s="2449"/>
      <c r="G112" s="2450"/>
      <c r="H112" s="2450"/>
      <c r="I112" s="2451"/>
      <c r="J112" s="45"/>
      <c r="K112" s="45"/>
    </row>
    <row r="113" spans="1:12" ht="42" customHeight="1" x14ac:dyDescent="0.25">
      <c r="A113" s="45"/>
      <c r="B113" s="2421" t="s">
        <v>885</v>
      </c>
      <c r="C113" s="2422"/>
      <c r="D113" s="2423"/>
      <c r="E113" s="602" t="s">
        <v>53</v>
      </c>
      <c r="F113" s="2449"/>
      <c r="G113" s="2450"/>
      <c r="H113" s="2450"/>
      <c r="I113" s="2451"/>
      <c r="J113" s="45"/>
      <c r="K113" s="45"/>
    </row>
    <row r="114" spans="1:12" ht="42" customHeight="1" x14ac:dyDescent="0.25">
      <c r="A114" s="45"/>
      <c r="B114" s="2421" t="s">
        <v>886</v>
      </c>
      <c r="C114" s="2422"/>
      <c r="D114" s="2423"/>
      <c r="E114" s="602" t="s">
        <v>53</v>
      </c>
      <c r="F114" s="2449"/>
      <c r="G114" s="2450"/>
      <c r="H114" s="2450"/>
      <c r="I114" s="2451"/>
      <c r="J114" s="45"/>
      <c r="K114" s="45"/>
    </row>
    <row r="115" spans="1:12" ht="18" customHeight="1" x14ac:dyDescent="0.25">
      <c r="A115" s="45"/>
      <c r="B115" s="46"/>
      <c r="C115" s="46"/>
      <c r="D115" s="45"/>
      <c r="E115" s="45"/>
      <c r="F115" s="45"/>
      <c r="G115" s="45"/>
      <c r="H115" s="45"/>
      <c r="I115" s="45"/>
      <c r="J115" s="45"/>
      <c r="K115" s="45"/>
    </row>
    <row r="116" spans="1:12" ht="21" customHeight="1" x14ac:dyDescent="0.25">
      <c r="A116" s="45"/>
      <c r="B116" s="2439" t="s">
        <v>150</v>
      </c>
      <c r="C116" s="2439"/>
      <c r="D116" s="2439"/>
      <c r="E116" s="144" t="str">
        <f>IF(AND(D99&lt;&gt;"",D102&lt;&gt;"",OR(AND(E106="Yes",F106&lt;&gt;""),AND(B108&lt;&gt;"",E108="Yes",F108&lt;&gt;"")),OR(AND(F112&lt;&gt;"",E112="Yes"),AND(F113&lt;&gt;"",E113="Yes"),AND(F114&lt;&gt;"",E114="Yes"))),"Yes","No")</f>
        <v>No</v>
      </c>
      <c r="F116" s="45"/>
      <c r="G116" s="45"/>
      <c r="H116" s="45"/>
      <c r="I116" s="45"/>
      <c r="J116" s="45"/>
      <c r="K116" s="45"/>
    </row>
    <row r="117" spans="1:12" ht="19.5" customHeight="1" x14ac:dyDescent="0.25">
      <c r="A117" s="45"/>
      <c r="B117" s="46"/>
      <c r="C117" s="46"/>
      <c r="D117" s="46"/>
      <c r="E117" s="45"/>
      <c r="F117" s="45"/>
      <c r="G117" s="45"/>
      <c r="H117" s="45"/>
      <c r="I117" s="45"/>
      <c r="J117" s="45"/>
      <c r="K117" s="45"/>
    </row>
    <row r="118" spans="1:12" ht="16.5" customHeight="1" x14ac:dyDescent="0.25">
      <c r="A118" s="2429" t="s">
        <v>84</v>
      </c>
      <c r="B118" s="2429"/>
      <c r="C118" s="2429"/>
      <c r="D118" s="46"/>
      <c r="E118" s="46"/>
      <c r="F118" s="46"/>
      <c r="G118" s="46"/>
      <c r="H118" s="46"/>
      <c r="I118" s="46"/>
      <c r="J118" s="46"/>
      <c r="K118" s="46"/>
    </row>
    <row r="119" spans="1:12" x14ac:dyDescent="0.25">
      <c r="A119" s="45"/>
      <c r="B119" s="46"/>
      <c r="C119" s="46"/>
      <c r="D119" s="46"/>
      <c r="E119" s="45"/>
      <c r="F119" s="45"/>
      <c r="G119" s="45"/>
      <c r="H119" s="45"/>
      <c r="I119" s="45"/>
      <c r="J119" s="45"/>
      <c r="K119" s="45"/>
    </row>
    <row r="120" spans="1:12" ht="21" customHeight="1" x14ac:dyDescent="0.25">
      <c r="A120" s="45"/>
      <c r="B120" s="2419" t="s">
        <v>85</v>
      </c>
      <c r="C120" s="2420"/>
      <c r="D120" s="2420"/>
      <c r="E120" s="2420"/>
      <c r="F120" s="2420"/>
      <c r="G120" s="660" t="s">
        <v>907</v>
      </c>
      <c r="H120" s="2441" t="s">
        <v>908</v>
      </c>
      <c r="I120" s="2442"/>
      <c r="J120" s="45"/>
      <c r="K120" s="45"/>
    </row>
    <row r="121" spans="1:12" ht="27" customHeight="1" x14ac:dyDescent="0.25">
      <c r="A121" s="45"/>
      <c r="B121" s="2060" t="str">
        <f>Submittals!G144</f>
        <v>• Evidence showing each measure implemented such as photographs, etc.</v>
      </c>
      <c r="C121" s="2061"/>
      <c r="D121" s="2061"/>
      <c r="E121" s="2061"/>
      <c r="F121" s="2062"/>
      <c r="G121" s="657" t="s">
        <v>53</v>
      </c>
      <c r="H121" s="1689"/>
      <c r="I121" s="1690"/>
      <c r="J121" s="45"/>
      <c r="K121" s="45"/>
      <c r="L121" s="35" t="str">
        <f>IF(OR(B121="/",B121="No evidence required at this submission stage"),"Yes",IF(G121="Submitted","Yes","No"))</f>
        <v>No</v>
      </c>
    </row>
    <row r="122" spans="1:12" ht="27" hidden="1" customHeight="1" x14ac:dyDescent="0.25">
      <c r="A122" s="45"/>
      <c r="B122" s="2060" t="str">
        <f>Submittals!G145</f>
        <v>/</v>
      </c>
      <c r="C122" s="2061"/>
      <c r="D122" s="2061"/>
      <c r="E122" s="2061"/>
      <c r="F122" s="2062"/>
      <c r="G122" s="657" t="s">
        <v>53</v>
      </c>
      <c r="H122" s="1739"/>
      <c r="I122" s="2103"/>
      <c r="J122" s="45"/>
      <c r="K122" s="45"/>
      <c r="L122" s="35" t="str">
        <f>IF(OR(B122="/",B122="No evidence required at this submission stage"),"Yes",IF(G122="Submitted","Yes","No"))</f>
        <v>Yes</v>
      </c>
    </row>
    <row r="123" spans="1:12" ht="19.5" customHeight="1" x14ac:dyDescent="0.25">
      <c r="A123" s="45"/>
      <c r="B123" s="46"/>
      <c r="C123" s="46"/>
      <c r="D123" s="46"/>
      <c r="E123" s="45"/>
      <c r="F123" s="45"/>
      <c r="G123" s="45"/>
      <c r="H123" s="45"/>
      <c r="I123" s="45"/>
      <c r="J123" s="45"/>
      <c r="K123" s="45"/>
    </row>
    <row r="124" spans="1:12" ht="16.5" customHeight="1" x14ac:dyDescent="0.25">
      <c r="A124" s="2429" t="s">
        <v>5</v>
      </c>
      <c r="B124" s="2429"/>
      <c r="C124" s="2429"/>
      <c r="D124" s="46"/>
      <c r="E124" s="46"/>
      <c r="F124" s="46"/>
      <c r="G124" s="46"/>
      <c r="H124" s="46"/>
      <c r="I124" s="46"/>
      <c r="J124" s="46"/>
      <c r="K124" s="46"/>
    </row>
    <row r="125" spans="1:12" ht="16.5" customHeight="1" x14ac:dyDescent="0.25">
      <c r="A125" s="45"/>
      <c r="B125" s="46"/>
      <c r="C125" s="46"/>
      <c r="D125" s="46"/>
      <c r="E125" s="46"/>
      <c r="F125" s="45"/>
      <c r="G125" s="45"/>
      <c r="H125" s="45"/>
      <c r="I125" s="45"/>
      <c r="J125" s="45"/>
      <c r="K125" s="45"/>
    </row>
    <row r="126" spans="1:12" ht="18" customHeight="1" x14ac:dyDescent="0.25">
      <c r="A126" s="45"/>
      <c r="B126" s="143" t="s">
        <v>16</v>
      </c>
      <c r="C126" s="8">
        <f>IF(E116="Yes",1,0)</f>
        <v>0</v>
      </c>
      <c r="D126" s="46"/>
      <c r="E126" s="45"/>
      <c r="F126" s="45"/>
      <c r="G126" s="45"/>
      <c r="H126" s="45"/>
      <c r="I126" s="45"/>
      <c r="J126" s="45"/>
      <c r="K126" s="45"/>
    </row>
    <row r="127" spans="1:12" ht="18" customHeight="1" x14ac:dyDescent="0.25">
      <c r="A127" s="45"/>
      <c r="B127" s="143" t="s">
        <v>133</v>
      </c>
      <c r="C127" s="108" t="str">
        <f>IF(AND(COUNTIF(L121:L122,"Yes")=2,C126&gt;0),"Yes","No")</f>
        <v>No</v>
      </c>
      <c r="D127" s="46"/>
      <c r="E127" s="46"/>
      <c r="F127" s="45"/>
      <c r="G127" s="45"/>
      <c r="H127" s="45"/>
      <c r="I127" s="45"/>
      <c r="J127" s="45"/>
      <c r="K127" s="45"/>
    </row>
    <row r="128" spans="1:12" ht="21" customHeight="1" x14ac:dyDescent="0.25">
      <c r="A128" s="45"/>
      <c r="B128" s="46"/>
      <c r="C128" s="46"/>
      <c r="D128" s="46"/>
      <c r="E128" s="46"/>
      <c r="F128" s="45"/>
      <c r="G128" s="45"/>
      <c r="H128" s="45"/>
      <c r="I128" s="45"/>
      <c r="J128" s="45"/>
      <c r="K128" s="45"/>
    </row>
    <row r="129" spans="1:12" ht="18" customHeight="1" x14ac:dyDescent="0.25">
      <c r="A129" s="2431" t="s">
        <v>373</v>
      </c>
      <c r="B129" s="2431"/>
      <c r="C129" s="2431"/>
      <c r="D129" s="2431"/>
      <c r="E129" s="2431"/>
      <c r="F129" s="2431"/>
      <c r="G129" s="2431"/>
      <c r="H129" s="2431"/>
      <c r="I129" s="2431"/>
      <c r="J129" s="2431"/>
      <c r="K129" s="2431"/>
    </row>
    <row r="130" spans="1:12" x14ac:dyDescent="0.25">
      <c r="A130" s="45"/>
      <c r="B130" s="45"/>
      <c r="C130" s="46"/>
      <c r="D130" s="46"/>
      <c r="E130" s="46"/>
      <c r="F130" s="45"/>
      <c r="G130" s="45"/>
      <c r="H130" s="45"/>
      <c r="I130" s="45"/>
      <c r="J130" s="45"/>
      <c r="K130" s="45"/>
    </row>
    <row r="131" spans="1:12" ht="16.5" customHeight="1" x14ac:dyDescent="0.25">
      <c r="A131" s="2429" t="s">
        <v>102</v>
      </c>
      <c r="B131" s="2429"/>
      <c r="C131" s="2429"/>
      <c r="D131" s="46"/>
      <c r="E131" s="46"/>
      <c r="F131" s="46"/>
      <c r="G131" s="46"/>
      <c r="H131" s="46"/>
      <c r="I131" s="46"/>
      <c r="J131" s="46"/>
      <c r="K131" s="46"/>
    </row>
    <row r="132" spans="1:12" x14ac:dyDescent="0.25">
      <c r="A132" s="45"/>
      <c r="B132" s="46"/>
      <c r="C132" s="46"/>
      <c r="D132" s="46"/>
      <c r="E132" s="46"/>
      <c r="F132" s="45"/>
      <c r="G132" s="45"/>
      <c r="H132" s="45"/>
      <c r="I132" s="45"/>
      <c r="J132" s="45"/>
      <c r="K132" s="45"/>
    </row>
    <row r="133" spans="1:12" x14ac:dyDescent="0.25">
      <c r="A133" s="45"/>
      <c r="B133" s="2440" t="s">
        <v>963</v>
      </c>
      <c r="C133" s="2440"/>
      <c r="D133" s="2440"/>
      <c r="E133" s="2440"/>
      <c r="F133" s="2440"/>
      <c r="G133" s="2440"/>
      <c r="H133" s="2440"/>
      <c r="I133" s="2440"/>
      <c r="J133" s="2440"/>
      <c r="K133" s="45"/>
    </row>
    <row r="134" spans="1:12" ht="19.5" customHeight="1" x14ac:dyDescent="0.25">
      <c r="A134" s="45"/>
      <c r="B134" s="46"/>
      <c r="C134" s="46"/>
      <c r="D134" s="46"/>
      <c r="E134" s="46"/>
      <c r="F134" s="45"/>
      <c r="G134" s="45"/>
      <c r="H134" s="45"/>
      <c r="I134" s="45"/>
      <c r="J134" s="45"/>
      <c r="K134" s="45"/>
    </row>
    <row r="135" spans="1:12" x14ac:dyDescent="0.25">
      <c r="A135" s="45"/>
      <c r="B135" s="535" t="s">
        <v>1267</v>
      </c>
      <c r="C135" s="46"/>
      <c r="D135" s="46"/>
      <c r="E135" s="46"/>
      <c r="F135" s="45"/>
      <c r="G135" s="45"/>
      <c r="H135" s="45"/>
      <c r="I135" s="45"/>
      <c r="J135" s="45"/>
      <c r="K135" s="45"/>
    </row>
    <row r="136" spans="1:12" ht="14.25" customHeight="1" x14ac:dyDescent="0.25">
      <c r="A136" s="45"/>
      <c r="B136" s="46"/>
      <c r="C136" s="46"/>
      <c r="D136" s="46"/>
      <c r="E136" s="46"/>
      <c r="F136" s="45"/>
      <c r="G136" s="45"/>
      <c r="H136" s="45"/>
      <c r="I136" s="45"/>
      <c r="J136" s="45"/>
      <c r="K136" s="45"/>
    </row>
    <row r="137" spans="1:12" ht="17.25" customHeight="1" x14ac:dyDescent="0.25">
      <c r="A137" s="45"/>
      <c r="B137" s="860" t="s">
        <v>2323</v>
      </c>
      <c r="C137" s="624"/>
      <c r="D137" s="46"/>
      <c r="E137" s="46"/>
      <c r="F137" s="45"/>
      <c r="G137" s="45"/>
      <c r="H137" s="45"/>
      <c r="I137" s="45"/>
      <c r="J137" s="45"/>
      <c r="K137" s="45"/>
    </row>
    <row r="138" spans="1:12" ht="10.5" customHeight="1" x14ac:dyDescent="0.25">
      <c r="A138" s="45"/>
      <c r="B138" s="46"/>
      <c r="C138" s="46"/>
      <c r="D138" s="46"/>
      <c r="E138" s="46"/>
      <c r="F138" s="45"/>
      <c r="G138" s="45"/>
      <c r="H138" s="45"/>
      <c r="I138" s="45"/>
      <c r="J138" s="45"/>
      <c r="K138" s="45"/>
    </row>
    <row r="139" spans="1:12" ht="21.75" customHeight="1" x14ac:dyDescent="0.25">
      <c r="A139" s="45"/>
      <c r="B139" s="2419" t="s">
        <v>1275</v>
      </c>
      <c r="C139" s="2420"/>
      <c r="D139" s="2420"/>
      <c r="E139" s="2420"/>
      <c r="F139" s="754" t="s">
        <v>1268</v>
      </c>
      <c r="G139" s="2420" t="s">
        <v>12</v>
      </c>
      <c r="H139" s="2420"/>
      <c r="I139" s="2456"/>
      <c r="J139" s="532"/>
      <c r="K139" s="45"/>
    </row>
    <row r="140" spans="1:12" x14ac:dyDescent="0.25">
      <c r="A140" s="45"/>
      <c r="B140" s="1726" t="s">
        <v>1269</v>
      </c>
      <c r="C140" s="1726"/>
      <c r="D140" s="1726"/>
      <c r="E140" s="1726"/>
      <c r="F140" s="751" t="s">
        <v>53</v>
      </c>
      <c r="G140" s="2447"/>
      <c r="H140" s="2448"/>
      <c r="I140" s="2448"/>
      <c r="J140" s="45"/>
      <c r="K140" s="45"/>
      <c r="L140" s="35" t="str">
        <f>IF(F140="Yes","Yes","No")</f>
        <v>No</v>
      </c>
    </row>
    <row r="141" spans="1:12" x14ac:dyDescent="0.25">
      <c r="A141" s="45"/>
      <c r="B141" s="1726" t="s">
        <v>1270</v>
      </c>
      <c r="C141" s="1726"/>
      <c r="D141" s="1726"/>
      <c r="E141" s="1726"/>
      <c r="F141" s="751" t="s">
        <v>53</v>
      </c>
      <c r="G141" s="2447"/>
      <c r="H141" s="2448"/>
      <c r="I141" s="2448"/>
      <c r="J141" s="45"/>
      <c r="K141" s="45"/>
      <c r="L141" s="35" t="str">
        <f t="shared" ref="L141:L145" si="1">IF(F141="Yes","Yes","No")</f>
        <v>No</v>
      </c>
    </row>
    <row r="142" spans="1:12" x14ac:dyDescent="0.25">
      <c r="A142" s="45"/>
      <c r="B142" s="1726" t="s">
        <v>1271</v>
      </c>
      <c r="C142" s="1726"/>
      <c r="D142" s="1726"/>
      <c r="E142" s="1726"/>
      <c r="F142" s="751" t="s">
        <v>53</v>
      </c>
      <c r="G142" s="2447"/>
      <c r="H142" s="2448"/>
      <c r="I142" s="2448"/>
      <c r="J142" s="45"/>
      <c r="K142" s="45"/>
      <c r="L142" s="35" t="str">
        <f t="shared" si="1"/>
        <v>No</v>
      </c>
    </row>
    <row r="143" spans="1:12" x14ac:dyDescent="0.25">
      <c r="A143" s="45"/>
      <c r="B143" s="1726" t="s">
        <v>1480</v>
      </c>
      <c r="C143" s="1726"/>
      <c r="D143" s="1726"/>
      <c r="E143" s="1726"/>
      <c r="F143" s="751" t="s">
        <v>53</v>
      </c>
      <c r="G143" s="2447"/>
      <c r="H143" s="2448"/>
      <c r="I143" s="2448"/>
      <c r="J143" s="45"/>
      <c r="K143" s="45"/>
      <c r="L143" s="35" t="str">
        <f t="shared" si="1"/>
        <v>No</v>
      </c>
    </row>
    <row r="144" spans="1:12" x14ac:dyDescent="0.25">
      <c r="A144" s="45"/>
      <c r="B144" s="1726" t="s">
        <v>1272</v>
      </c>
      <c r="C144" s="1726"/>
      <c r="D144" s="1726"/>
      <c r="E144" s="1726"/>
      <c r="F144" s="751" t="s">
        <v>53</v>
      </c>
      <c r="G144" s="2447"/>
      <c r="H144" s="2448"/>
      <c r="I144" s="2448"/>
      <c r="J144" s="45"/>
      <c r="K144" s="45"/>
      <c r="L144" s="35" t="str">
        <f t="shared" si="1"/>
        <v>No</v>
      </c>
    </row>
    <row r="145" spans="1:12" x14ac:dyDescent="0.25">
      <c r="A145" s="45"/>
      <c r="B145" s="1726" t="s">
        <v>1273</v>
      </c>
      <c r="C145" s="1726"/>
      <c r="D145" s="1726"/>
      <c r="E145" s="1726"/>
      <c r="F145" s="751" t="s">
        <v>53</v>
      </c>
      <c r="G145" s="2447"/>
      <c r="H145" s="2448"/>
      <c r="I145" s="2448"/>
      <c r="J145" s="45"/>
      <c r="K145" s="45"/>
      <c r="L145" s="35" t="str">
        <f t="shared" si="1"/>
        <v>No</v>
      </c>
    </row>
    <row r="146" spans="1:12" x14ac:dyDescent="0.25">
      <c r="A146" s="45"/>
      <c r="B146" s="752" t="s">
        <v>1274</v>
      </c>
      <c r="C146" s="2416"/>
      <c r="D146" s="2417"/>
      <c r="E146" s="2418"/>
      <c r="F146" s="751" t="s">
        <v>53</v>
      </c>
      <c r="G146" s="2447"/>
      <c r="H146" s="2448"/>
      <c r="I146" s="2448"/>
      <c r="J146" s="45"/>
      <c r="K146" s="45"/>
      <c r="L146" s="35" t="str">
        <f>IF(AND(C146&lt;&gt;"",F146="Yes"),"Yes","No")</f>
        <v>No</v>
      </c>
    </row>
    <row r="147" spans="1:12" x14ac:dyDescent="0.25">
      <c r="A147" s="45"/>
      <c r="B147" s="752" t="s">
        <v>1274</v>
      </c>
      <c r="C147" s="2416"/>
      <c r="D147" s="2417"/>
      <c r="E147" s="2418"/>
      <c r="F147" s="751" t="s">
        <v>53</v>
      </c>
      <c r="G147" s="2447"/>
      <c r="H147" s="2448"/>
      <c r="I147" s="2448"/>
      <c r="J147" s="45"/>
      <c r="K147" s="45"/>
      <c r="L147" s="35" t="str">
        <f>IF(AND(C147&lt;&gt;"",F147="Yes"),"Yes","No")</f>
        <v>No</v>
      </c>
    </row>
    <row r="148" spans="1:12" ht="18.75" customHeight="1" x14ac:dyDescent="0.25">
      <c r="A148" s="45"/>
      <c r="B148" s="46"/>
      <c r="C148" s="46"/>
      <c r="D148" s="46"/>
      <c r="E148" s="46"/>
      <c r="F148" s="45"/>
      <c r="G148" s="45"/>
      <c r="H148" s="45"/>
      <c r="I148" s="45"/>
      <c r="J148" s="45"/>
      <c r="K148" s="45"/>
    </row>
    <row r="149" spans="1:12" ht="16.5" customHeight="1" x14ac:dyDescent="0.25">
      <c r="A149" s="45"/>
      <c r="B149" s="860" t="s">
        <v>1481</v>
      </c>
      <c r="C149" s="46"/>
      <c r="D149" s="46"/>
      <c r="E149" s="46"/>
      <c r="F149" s="45"/>
      <c r="G149" s="45"/>
      <c r="H149" s="45"/>
      <c r="I149" s="45"/>
      <c r="J149" s="45"/>
      <c r="K149" s="45"/>
    </row>
    <row r="150" spans="1:12" ht="11.25" customHeight="1" x14ac:dyDescent="0.25">
      <c r="A150" s="45"/>
      <c r="B150" s="46"/>
      <c r="C150" s="46"/>
      <c r="D150" s="46"/>
      <c r="E150" s="46"/>
      <c r="F150" s="45"/>
      <c r="G150" s="45"/>
      <c r="H150" s="45"/>
      <c r="I150" s="45"/>
      <c r="J150" s="45"/>
      <c r="K150" s="45"/>
    </row>
    <row r="151" spans="1:12" ht="16.5" customHeight="1" x14ac:dyDescent="0.25">
      <c r="A151" s="45"/>
      <c r="B151" s="2445" t="s">
        <v>1276</v>
      </c>
      <c r="C151" s="2446"/>
      <c r="D151" s="2446"/>
      <c r="E151" s="2446"/>
      <c r="F151" s="2446"/>
      <c r="G151" s="2446"/>
      <c r="H151" s="2446"/>
      <c r="I151" s="2446"/>
      <c r="J151" s="45"/>
      <c r="K151" s="45"/>
    </row>
    <row r="152" spans="1:12" ht="27" customHeight="1" x14ac:dyDescent="0.25">
      <c r="A152" s="45"/>
      <c r="B152" s="2412"/>
      <c r="C152" s="2412"/>
      <c r="D152" s="2412"/>
      <c r="E152" s="2412"/>
      <c r="F152" s="2412"/>
      <c r="G152" s="2412"/>
      <c r="H152" s="2412"/>
      <c r="I152" s="2412"/>
      <c r="J152" s="45"/>
      <c r="K152" s="45"/>
      <c r="L152" s="67"/>
    </row>
    <row r="153" spans="1:12" ht="27" customHeight="1" x14ac:dyDescent="0.25">
      <c r="A153" s="45"/>
      <c r="B153" s="2412"/>
      <c r="C153" s="2412"/>
      <c r="D153" s="2412"/>
      <c r="E153" s="2412"/>
      <c r="F153" s="2412"/>
      <c r="G153" s="2412"/>
      <c r="H153" s="2412"/>
      <c r="I153" s="2412"/>
      <c r="J153" s="45"/>
      <c r="K153" s="45"/>
      <c r="L153" s="67"/>
    </row>
    <row r="154" spans="1:12" ht="27" customHeight="1" x14ac:dyDescent="0.25">
      <c r="A154" s="45"/>
      <c r="B154" s="2412"/>
      <c r="C154" s="2412"/>
      <c r="D154" s="2412"/>
      <c r="E154" s="2412"/>
      <c r="F154" s="2412"/>
      <c r="G154" s="2412"/>
      <c r="H154" s="2412"/>
      <c r="I154" s="2412"/>
      <c r="J154" s="45"/>
      <c r="K154" s="45"/>
      <c r="L154" s="67"/>
    </row>
    <row r="155" spans="1:12" ht="27" customHeight="1" x14ac:dyDescent="0.25">
      <c r="A155" s="45"/>
      <c r="B155" s="2412"/>
      <c r="C155" s="2412"/>
      <c r="D155" s="2412"/>
      <c r="E155" s="2412"/>
      <c r="F155" s="2412"/>
      <c r="G155" s="2412"/>
      <c r="H155" s="2412"/>
      <c r="I155" s="2412"/>
      <c r="J155" s="45"/>
      <c r="K155" s="45"/>
      <c r="L155" s="67"/>
    </row>
    <row r="156" spans="1:12" x14ac:dyDescent="0.25">
      <c r="A156" s="45"/>
      <c r="B156" s="57"/>
      <c r="C156" s="46"/>
      <c r="D156" s="46"/>
      <c r="E156" s="46"/>
      <c r="F156" s="45"/>
      <c r="G156" s="45"/>
      <c r="H156" s="45"/>
      <c r="I156" s="45"/>
      <c r="J156" s="45"/>
      <c r="K156" s="45"/>
    </row>
    <row r="157" spans="1:12" ht="21" customHeight="1" x14ac:dyDescent="0.25">
      <c r="A157" s="45"/>
      <c r="B157" s="2439" t="s">
        <v>812</v>
      </c>
      <c r="C157" s="2439"/>
      <c r="D157" s="2439"/>
      <c r="E157" s="144" t="str">
        <f>IF(AND(B152&lt;&gt;"",B153&lt;&gt;"",B154&lt;&gt;"",L140="Yes",L141="Yes",L142="Yes",COUNTIF(L140:L147,"Yes")&gt;3),"Yes","No")</f>
        <v>No</v>
      </c>
      <c r="F157" s="45"/>
      <c r="G157" s="45"/>
      <c r="H157" s="45"/>
      <c r="I157" s="45"/>
      <c r="J157" s="45"/>
      <c r="K157" s="45"/>
    </row>
    <row r="158" spans="1:12" ht="19.5" customHeight="1" x14ac:dyDescent="0.25">
      <c r="A158" s="45"/>
      <c r="B158" s="46"/>
      <c r="C158" s="46"/>
      <c r="D158" s="46"/>
      <c r="E158" s="45"/>
      <c r="F158" s="45"/>
      <c r="G158" s="45"/>
      <c r="H158" s="45"/>
      <c r="I158" s="45"/>
      <c r="J158" s="45"/>
      <c r="K158" s="45"/>
    </row>
    <row r="159" spans="1:12" ht="16.5" customHeight="1" x14ac:dyDescent="0.25">
      <c r="A159" s="2429" t="s">
        <v>84</v>
      </c>
      <c r="B159" s="2429"/>
      <c r="C159" s="2429"/>
      <c r="D159" s="46"/>
      <c r="E159" s="46"/>
      <c r="F159" s="46"/>
      <c r="G159" s="46"/>
      <c r="H159" s="46"/>
      <c r="I159" s="46"/>
      <c r="J159" s="46"/>
      <c r="K159" s="46"/>
    </row>
    <row r="160" spans="1:12" x14ac:dyDescent="0.25">
      <c r="A160" s="45"/>
      <c r="B160" s="46"/>
      <c r="C160" s="46"/>
      <c r="D160" s="46"/>
      <c r="E160" s="45"/>
      <c r="F160" s="45"/>
      <c r="G160" s="45"/>
      <c r="H160" s="45"/>
      <c r="I160" s="45"/>
      <c r="J160" s="45"/>
      <c r="K160" s="45"/>
    </row>
    <row r="161" spans="1:12" ht="21" customHeight="1" x14ac:dyDescent="0.25">
      <c r="A161" s="45"/>
      <c r="B161" s="2419" t="s">
        <v>85</v>
      </c>
      <c r="C161" s="2420"/>
      <c r="D161" s="2420"/>
      <c r="E161" s="2420"/>
      <c r="F161" s="2420"/>
      <c r="G161" s="660" t="s">
        <v>907</v>
      </c>
      <c r="H161" s="2441" t="s">
        <v>908</v>
      </c>
      <c r="I161" s="2442"/>
      <c r="J161" s="45"/>
      <c r="K161" s="45"/>
    </row>
    <row r="162" spans="1:12" ht="30" customHeight="1" x14ac:dyDescent="0.25">
      <c r="A162" s="45"/>
      <c r="B162" s="2060" t="str">
        <f>Submittals!G146</f>
        <v>• Evidence showing the provision of toilets, washing facilities, drinking water and one other site
amenities during construction such as photographs, etc.</v>
      </c>
      <c r="C162" s="2061"/>
      <c r="D162" s="2061"/>
      <c r="E162" s="2061"/>
      <c r="F162" s="2062"/>
      <c r="G162" s="657" t="s">
        <v>53</v>
      </c>
      <c r="H162" s="1689"/>
      <c r="I162" s="1690"/>
      <c r="J162" s="45"/>
      <c r="K162" s="45"/>
      <c r="L162" s="35" t="str">
        <f>IF(OR(B162="/",B162="No evidence required at this submission stage"),"Yes",IF(G162="Submitted","Yes","No"))</f>
        <v>No</v>
      </c>
    </row>
    <row r="163" spans="1:12" ht="30" customHeight="1" x14ac:dyDescent="0.25">
      <c r="A163" s="45"/>
      <c r="B163" s="2060" t="str">
        <f>Submittals!G147</f>
        <v>• Evidence showing each strategy implemented to provide safety and welfare for construction
workers such as photographs, etc.</v>
      </c>
      <c r="C163" s="2061"/>
      <c r="D163" s="2061"/>
      <c r="E163" s="2061"/>
      <c r="F163" s="2062"/>
      <c r="G163" s="657" t="s">
        <v>53</v>
      </c>
      <c r="H163" s="1739"/>
      <c r="I163" s="2103"/>
      <c r="J163" s="45"/>
      <c r="K163" s="45"/>
      <c r="L163" s="35" t="str">
        <f>IF(OR(B163="/",B163="No evidence required at this submission stage"),"Yes",IF(G163="Submitted","Yes","No"))</f>
        <v>No</v>
      </c>
    </row>
    <row r="164" spans="1:12" ht="16.5" customHeight="1" x14ac:dyDescent="0.25">
      <c r="A164" s="45"/>
      <c r="B164" s="46"/>
      <c r="C164" s="46"/>
      <c r="D164" s="46"/>
      <c r="E164" s="45"/>
      <c r="F164" s="45"/>
      <c r="G164" s="45"/>
      <c r="H164" s="45"/>
      <c r="I164" s="45"/>
      <c r="J164" s="45"/>
      <c r="K164" s="45"/>
    </row>
    <row r="165" spans="1:12" ht="16.5" customHeight="1" x14ac:dyDescent="0.25">
      <c r="A165" s="2429" t="s">
        <v>5</v>
      </c>
      <c r="B165" s="2429"/>
      <c r="C165" s="2429"/>
      <c r="D165" s="46"/>
      <c r="E165" s="46"/>
      <c r="F165" s="46"/>
      <c r="G165" s="46"/>
      <c r="H165" s="46"/>
      <c r="I165" s="46"/>
      <c r="J165" s="46"/>
      <c r="K165" s="46"/>
    </row>
    <row r="166" spans="1:12" ht="16.5" customHeight="1" x14ac:dyDescent="0.25">
      <c r="A166" s="45"/>
      <c r="B166" s="46"/>
      <c r="C166" s="46"/>
      <c r="D166" s="46"/>
      <c r="E166" s="46"/>
      <c r="F166" s="45"/>
      <c r="G166" s="45"/>
      <c r="H166" s="45"/>
      <c r="I166" s="45"/>
      <c r="J166" s="45"/>
      <c r="K166" s="45"/>
    </row>
    <row r="167" spans="1:12" ht="18" customHeight="1" x14ac:dyDescent="0.25">
      <c r="A167" s="45"/>
      <c r="B167" s="143" t="s">
        <v>16</v>
      </c>
      <c r="C167" s="8">
        <f>IF(E157="Yes",1,0)</f>
        <v>0</v>
      </c>
      <c r="D167" s="46"/>
      <c r="E167" s="45"/>
      <c r="F167" s="45"/>
      <c r="G167" s="45"/>
      <c r="H167" s="45"/>
      <c r="I167" s="45"/>
      <c r="J167" s="45"/>
      <c r="K167" s="45"/>
    </row>
    <row r="168" spans="1:12" ht="18" customHeight="1" x14ac:dyDescent="0.25">
      <c r="A168" s="45"/>
      <c r="B168" s="143" t="s">
        <v>133</v>
      </c>
      <c r="C168" s="108" t="str">
        <f>IF(AND(COUNTIF(L162:L163,"Yes")=2,C167&gt;0),"Yes","No")</f>
        <v>No</v>
      </c>
      <c r="D168" s="46"/>
      <c r="E168" s="46"/>
      <c r="F168" s="45"/>
      <c r="G168" s="45"/>
      <c r="H168" s="45"/>
      <c r="I168" s="45"/>
      <c r="J168" s="45"/>
      <c r="K168" s="45"/>
    </row>
    <row r="169" spans="1:12" ht="21" customHeight="1" x14ac:dyDescent="0.25">
      <c r="A169" s="45"/>
      <c r="B169" s="46"/>
      <c r="C169" s="46"/>
      <c r="D169" s="46"/>
      <c r="E169" s="46"/>
      <c r="F169" s="45"/>
      <c r="G169" s="45"/>
      <c r="H169" s="45"/>
      <c r="I169" s="45"/>
      <c r="J169" s="45"/>
      <c r="K169" s="45"/>
    </row>
    <row r="170" spans="1:12" ht="15" hidden="1" customHeight="1" x14ac:dyDescent="0.25"/>
    <row r="171" spans="1:12" ht="15" hidden="1" customHeight="1" x14ac:dyDescent="0.25"/>
    <row r="172" spans="1:12" ht="15" hidden="1" customHeight="1" x14ac:dyDescent="0.25"/>
    <row r="173" spans="1:12" ht="15" hidden="1" customHeight="1" x14ac:dyDescent="0.25"/>
    <row r="174" spans="1:12" ht="15" hidden="1" customHeight="1" x14ac:dyDescent="0.25"/>
    <row r="175" spans="1:12" ht="15" hidden="1" customHeight="1" x14ac:dyDescent="0.25"/>
    <row r="176" spans="1:12"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sheetData>
  <sheetProtection algorithmName="SHA-512" hashValue="BPCvZLDk+uzhFkkIZqRuoOhUhXuYe70VL+EQk58FmSjZ/Q52cj2WCKul28O+Gat9ShnHamMlkdOldGLcxTR11Q==" saltValue="uB0eHuWvvB53YafpKGuzPg==" spinCount="100000" sheet="1" objects="1" scenarios="1" formatRows="0"/>
  <mergeCells count="130">
    <mergeCell ref="F44:I44"/>
    <mergeCell ref="B46:D46"/>
    <mergeCell ref="F106:I106"/>
    <mergeCell ref="F112:I112"/>
    <mergeCell ref="F108:I108"/>
    <mergeCell ref="B107:I107"/>
    <mergeCell ref="F113:I113"/>
    <mergeCell ref="F114:I114"/>
    <mergeCell ref="G139:I139"/>
    <mergeCell ref="F29:I29"/>
    <mergeCell ref="F30:I30"/>
    <mergeCell ref="F31:I31"/>
    <mergeCell ref="F34:I34"/>
    <mergeCell ref="F35:I35"/>
    <mergeCell ref="F36:I36"/>
    <mergeCell ref="F39:I39"/>
    <mergeCell ref="F40:I40"/>
    <mergeCell ref="F41:I41"/>
    <mergeCell ref="B51:D51"/>
    <mergeCell ref="B40:D40"/>
    <mergeCell ref="B45:D45"/>
    <mergeCell ref="B50:D50"/>
    <mergeCell ref="B39:D39"/>
    <mergeCell ref="B44:D44"/>
    <mergeCell ref="B49:D49"/>
    <mergeCell ref="G144:I144"/>
    <mergeCell ref="G145:I145"/>
    <mergeCell ref="G146:I146"/>
    <mergeCell ref="G147:I147"/>
    <mergeCell ref="F45:I45"/>
    <mergeCell ref="F46:I46"/>
    <mergeCell ref="F49:I49"/>
    <mergeCell ref="F50:I50"/>
    <mergeCell ref="F51:I51"/>
    <mergeCell ref="A92:C92"/>
    <mergeCell ref="H57:I57"/>
    <mergeCell ref="H58:I58"/>
    <mergeCell ref="H59:I59"/>
    <mergeCell ref="H82:I82"/>
    <mergeCell ref="H83:I83"/>
    <mergeCell ref="A18:K18"/>
    <mergeCell ref="B57:F57"/>
    <mergeCell ref="B59:F59"/>
    <mergeCell ref="D76:E76"/>
    <mergeCell ref="B74:E74"/>
    <mergeCell ref="B82:F82"/>
    <mergeCell ref="B83:F83"/>
    <mergeCell ref="B70:J70"/>
    <mergeCell ref="A80:C80"/>
    <mergeCell ref="B53:D53"/>
    <mergeCell ref="B22:J22"/>
    <mergeCell ref="B29:D29"/>
    <mergeCell ref="B30:D30"/>
    <mergeCell ref="B31:D31"/>
    <mergeCell ref="B34:D34"/>
    <mergeCell ref="B35:D35"/>
    <mergeCell ref="B36:D36"/>
    <mergeCell ref="B41:D41"/>
    <mergeCell ref="A165:C165"/>
    <mergeCell ref="B161:F161"/>
    <mergeCell ref="B163:F163"/>
    <mergeCell ref="B99:C99"/>
    <mergeCell ref="D99:H99"/>
    <mergeCell ref="B116:D116"/>
    <mergeCell ref="B133:J133"/>
    <mergeCell ref="B102:C102"/>
    <mergeCell ref="B162:F162"/>
    <mergeCell ref="B121:F121"/>
    <mergeCell ref="A131:C131"/>
    <mergeCell ref="A159:C159"/>
    <mergeCell ref="H163:I163"/>
    <mergeCell ref="H120:I120"/>
    <mergeCell ref="B157:D157"/>
    <mergeCell ref="B122:F122"/>
    <mergeCell ref="A129:K129"/>
    <mergeCell ref="A124:C124"/>
    <mergeCell ref="B112:D112"/>
    <mergeCell ref="B152:I152"/>
    <mergeCell ref="D102:H102"/>
    <mergeCell ref="A118:C118"/>
    <mergeCell ref="H161:I161"/>
    <mergeCell ref="H162:I162"/>
    <mergeCell ref="A1:K1"/>
    <mergeCell ref="B58:F58"/>
    <mergeCell ref="B105:D105"/>
    <mergeCell ref="B106:D106"/>
    <mergeCell ref="A20:C20"/>
    <mergeCell ref="B23:J23"/>
    <mergeCell ref="A61:C61"/>
    <mergeCell ref="A68:C68"/>
    <mergeCell ref="A55:C55"/>
    <mergeCell ref="B16:E16"/>
    <mergeCell ref="A66:K66"/>
    <mergeCell ref="B76:C76"/>
    <mergeCell ref="B78:D78"/>
    <mergeCell ref="H2:I4"/>
    <mergeCell ref="B12:E12"/>
    <mergeCell ref="B13:E13"/>
    <mergeCell ref="A9:K9"/>
    <mergeCell ref="B14:E14"/>
    <mergeCell ref="B15:E15"/>
    <mergeCell ref="A85:C85"/>
    <mergeCell ref="B94:J94"/>
    <mergeCell ref="A90:K90"/>
    <mergeCell ref="A5:K7"/>
    <mergeCell ref="B11:E11"/>
    <mergeCell ref="B153:I153"/>
    <mergeCell ref="B155:I155"/>
    <mergeCell ref="B154:I154"/>
    <mergeCell ref="B108:D108"/>
    <mergeCell ref="C146:E146"/>
    <mergeCell ref="C147:E147"/>
    <mergeCell ref="B120:F120"/>
    <mergeCell ref="H121:I121"/>
    <mergeCell ref="B113:D113"/>
    <mergeCell ref="B114:D114"/>
    <mergeCell ref="B111:D111"/>
    <mergeCell ref="H122:I122"/>
    <mergeCell ref="B151:I151"/>
    <mergeCell ref="B139:E139"/>
    <mergeCell ref="B140:E140"/>
    <mergeCell ref="B141:E141"/>
    <mergeCell ref="B142:E142"/>
    <mergeCell ref="B143:E143"/>
    <mergeCell ref="B144:E144"/>
    <mergeCell ref="B145:E145"/>
    <mergeCell ref="G140:I140"/>
    <mergeCell ref="G141:I141"/>
    <mergeCell ref="G142:I142"/>
    <mergeCell ref="G143:I143"/>
  </mergeCells>
  <conditionalFormatting sqref="E106">
    <cfRule type="expression" dxfId="88" priority="74">
      <formula>#REF!&lt;&gt;"Prescriptive Path"</formula>
    </cfRule>
  </conditionalFormatting>
  <conditionalFormatting sqref="E112">
    <cfRule type="expression" dxfId="87" priority="69">
      <formula>#REF!&lt;&gt;"Prescriptive Path"</formula>
    </cfRule>
  </conditionalFormatting>
  <conditionalFormatting sqref="E113">
    <cfRule type="expression" dxfId="86" priority="68">
      <formula>#REF!&lt;&gt;"Prescriptive Path"</formula>
    </cfRule>
  </conditionalFormatting>
  <conditionalFormatting sqref="E114">
    <cfRule type="expression" dxfId="85" priority="67">
      <formula>#REF!&lt;&gt;"Prescriptive Path"</formula>
    </cfRule>
  </conditionalFormatting>
  <conditionalFormatting sqref="H83">
    <cfRule type="expression" dxfId="84" priority="43">
      <formula>$B83="No evidence required at this submission stage"</formula>
    </cfRule>
    <cfRule type="expression" dxfId="83" priority="44">
      <formula>$B83="/"</formula>
    </cfRule>
  </conditionalFormatting>
  <conditionalFormatting sqref="G121:G122">
    <cfRule type="expression" dxfId="82" priority="49">
      <formula>$B121="No evidence required at this submission stage"</formula>
    </cfRule>
    <cfRule type="expression" dxfId="81" priority="50">
      <formula>$B121="/"</formula>
    </cfRule>
  </conditionalFormatting>
  <conditionalFormatting sqref="G162:G163">
    <cfRule type="expression" dxfId="80" priority="51">
      <formula>$B162="No evidence required at this submission stage"</formula>
    </cfRule>
    <cfRule type="expression" dxfId="79" priority="52">
      <formula>$B162="/"</formula>
    </cfRule>
  </conditionalFormatting>
  <conditionalFormatting sqref="G83">
    <cfRule type="expression" dxfId="78" priority="47">
      <formula>$B83="No evidence required at this submission stage"</formula>
    </cfRule>
    <cfRule type="expression" dxfId="77" priority="48">
      <formula>$B83="/"</formula>
    </cfRule>
  </conditionalFormatting>
  <conditionalFormatting sqref="G58:H59">
    <cfRule type="expression" dxfId="76" priority="45">
      <formula>$B58="No evidence required at this submission stage"</formula>
    </cfRule>
    <cfRule type="expression" dxfId="75" priority="46">
      <formula>$B58="/"</formula>
    </cfRule>
  </conditionalFormatting>
  <conditionalFormatting sqref="H162:H163">
    <cfRule type="expression" dxfId="74" priority="37">
      <formula>$B162="No evidence required at this submission stage"</formula>
    </cfRule>
    <cfRule type="expression" dxfId="73" priority="38">
      <formula>$B162="/"</formula>
    </cfRule>
  </conditionalFormatting>
  <conditionalFormatting sqref="H121:H122">
    <cfRule type="expression" dxfId="72" priority="39">
      <formula>$B121="No evidence required at this submission stage"</formula>
    </cfRule>
    <cfRule type="expression" dxfId="71" priority="40">
      <formula>$B121="/"</formula>
    </cfRule>
  </conditionalFormatting>
  <conditionalFormatting sqref="G140">
    <cfRule type="expression" dxfId="70" priority="35">
      <formula>$B140="No evidence required at this submission stage"</formula>
    </cfRule>
    <cfRule type="expression" dxfId="69" priority="36">
      <formula>$B140="/"</formula>
    </cfRule>
  </conditionalFormatting>
  <conditionalFormatting sqref="C146">
    <cfRule type="expression" dxfId="68" priority="33">
      <formula>$B146="No evidence required at this submission stage"</formula>
    </cfRule>
    <cfRule type="expression" dxfId="67" priority="34">
      <formula>$B146="/"</formula>
    </cfRule>
  </conditionalFormatting>
  <conditionalFormatting sqref="C147">
    <cfRule type="expression" dxfId="66" priority="27">
      <formula>$B147="No evidence required at this submission stage"</formula>
    </cfRule>
    <cfRule type="expression" dxfId="65" priority="28">
      <formula>$B147="/"</formula>
    </cfRule>
  </conditionalFormatting>
  <conditionalFormatting sqref="E108">
    <cfRule type="expression" dxfId="64" priority="26">
      <formula>#REF!&lt;&gt;"Prescriptive Path"</formula>
    </cfRule>
  </conditionalFormatting>
  <conditionalFormatting sqref="E36">
    <cfRule type="expression" dxfId="63" priority="8">
      <formula>#REF!&lt;&gt;"Prescriptive Path"</formula>
    </cfRule>
  </conditionalFormatting>
  <conditionalFormatting sqref="E45">
    <cfRule type="expression" dxfId="62" priority="17">
      <formula>#REF!&lt;&gt;"Prescriptive Path"</formula>
    </cfRule>
  </conditionalFormatting>
  <conditionalFormatting sqref="E51">
    <cfRule type="expression" dxfId="61" priority="9">
      <formula>#REF!&lt;&gt;"Prescriptive Path"</formula>
    </cfRule>
  </conditionalFormatting>
  <conditionalFormatting sqref="E35">
    <cfRule type="expression" dxfId="60" priority="5">
      <formula>#REF!&lt;&gt;"Prescriptive Path"</formula>
    </cfRule>
  </conditionalFormatting>
  <conditionalFormatting sqref="E50">
    <cfRule type="expression" dxfId="59" priority="10">
      <formula>#REF!&lt;&gt;"Prescriptive Path"</formula>
    </cfRule>
  </conditionalFormatting>
  <conditionalFormatting sqref="E30">
    <cfRule type="expression" dxfId="58" priority="4">
      <formula>#REF!&lt;&gt;"Prescriptive Path"</formula>
    </cfRule>
  </conditionalFormatting>
  <conditionalFormatting sqref="E31">
    <cfRule type="expression" dxfId="57" priority="3">
      <formula>#REF!&lt;&gt;"Prescriptive Path"</formula>
    </cfRule>
  </conditionalFormatting>
  <conditionalFormatting sqref="E46">
    <cfRule type="expression" dxfId="56" priority="11">
      <formula>#REF!&lt;&gt;"Prescriptive Path"</formula>
    </cfRule>
  </conditionalFormatting>
  <conditionalFormatting sqref="E40">
    <cfRule type="expression" dxfId="55" priority="7">
      <formula>#REF!&lt;&gt;"Prescriptive Path"</formula>
    </cfRule>
  </conditionalFormatting>
  <conditionalFormatting sqref="E41">
    <cfRule type="expression" dxfId="54" priority="6">
      <formula>#REF!&lt;&gt;"Prescriptive Path"</formula>
    </cfRule>
  </conditionalFormatting>
  <conditionalFormatting sqref="G141:G147">
    <cfRule type="expression" dxfId="53" priority="1">
      <formula>$B141="No evidence required at this submission stage"</formula>
    </cfRule>
    <cfRule type="expression" dxfId="52" priority="2">
      <formula>$B141="/"</formula>
    </cfRule>
  </conditionalFormatting>
  <dataValidations count="10">
    <dataValidation allowBlank="1" showInputMessage="1" showErrorMessage="1" prompt="Adjoining base building occupants and neighboring occupants." sqref="B99:H99" xr:uid="{00000000-0002-0000-2E00-000000000000}"/>
    <dataValidation allowBlank="1" showInputMessage="1" showErrorMessage="1" prompt="Can be drilling, coring, jackhammering, heavy machinery, etc." sqref="B102:H102" xr:uid="{00000000-0002-0000-2E00-000001000000}"/>
    <dataValidation type="list" allowBlank="1" showInputMessage="1" showErrorMessage="1" sqref="G83 G162:G163 G121:G122 G58:G59" xr:uid="{00000000-0002-0000-2E00-000002000000}">
      <formula1>"Select,Submitted,Not submitted"</formula1>
    </dataValidation>
    <dataValidation type="list" allowBlank="1" showInputMessage="1" showErrorMessage="1" sqref="F74 E112:E114 E106 E108 E35:E36 E45:E46 E50:E51 E40:E41 E30:E31" xr:uid="{00000000-0002-0000-2E00-000003000000}">
      <formula1>"Select,Yes,No"</formula1>
    </dataValidation>
    <dataValidation type="list" allowBlank="1" showInputMessage="1" showErrorMessage="1" sqref="F140:F147" xr:uid="{00000000-0002-0000-2E00-000004000000}">
      <formula1>"Select,Yes,No,N/A"</formula1>
    </dataValidation>
    <dataValidation allowBlank="1" showInputMessage="1" showErrorMessage="1" prompt="For example:_x000a_- Protect all HVAC equipment from both dust and odors and seal all duct and equipment openings _x000a_- Avoid using permanently installed HVAC systems during construction if possible_x000a_- etc." sqref="B30:B31" xr:uid="{00000000-0002-0000-2E00-000005000000}"/>
    <dataValidation allowBlank="1" showInputMessage="1" showErrorMessage="1" prompt="Isolate areas of work to prevent contamination of clean or occupied spaces (with temporary barriers or by maintaining negative pressure relative to other spaces)" sqref="B35:D36" xr:uid="{00000000-0002-0000-2E00-000006000000}"/>
    <dataValidation allowBlank="1" showInputMessage="1" showErrorMessage="1" prompt="- Clean dust by using wetting agents_x000a_- Use efficient cleaning methods (wet mops, Vacuum cleaners with high efficiency particle filters, etc.)_x000a_- Select cleaning measures and frequency according to the pollutants generated_x000a_- etc." sqref="B40:D41" xr:uid="{00000000-0002-0000-2E00-000007000000}"/>
    <dataValidation allowBlank="1" showInputMessage="1" showErrorMessage="1" prompt="- Conduct activities with high pollution potential (odorous or dust generating activities) during off hours to allow time for new materials to air out. _x000a_- etc._x000a_" sqref="B45:D46" xr:uid="{00000000-0002-0000-2E00-000008000000}"/>
    <dataValidation allowBlank="1" showInputMessage="1" showErrorMessage="1" prompt="- Protect stored on-site and installed absorptive materials from moisture damage_x000a_- etc." sqref="B50:D51" xr:uid="{00000000-0002-0000-2E00-000009000000}"/>
  </dataValidations>
  <hyperlinks>
    <hyperlink ref="J2" location="'Man-2 Commissioning'!B3" tooltip="Man-2" display="Man-2" xr:uid="{00000000-0004-0000-2E00-000000000000}"/>
    <hyperlink ref="J3" location="'Man-3 Maintenance'!B3" tooltip="Man-3" display="Man-3" xr:uid="{00000000-0004-0000-2E00-000001000000}"/>
    <hyperlink ref="J4" location="'Man-4 Green Awareness '!B3" tooltip="Man-4" display="Man-4" xr:uid="{00000000-0004-0000-2E00-000002000000}"/>
    <hyperlink ref="K3" location="'Man BPC'!B3" tooltip="Man-BPC" display="Man-BPC" xr:uid="{00000000-0004-0000-2E00-000003000000}"/>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tabColor rgb="FF984806"/>
  </sheetPr>
  <dimension ref="A1:M171"/>
  <sheetViews>
    <sheetView showRowColHeaders="0" workbookViewId="0">
      <pane ySplit="8" topLeftCell="A9" activePane="bottomLeft" state="frozen"/>
      <selection activeCell="B19" sqref="B19:E19"/>
      <selection pane="bottomLeft" activeCell="A5" sqref="A5:K7"/>
    </sheetView>
  </sheetViews>
  <sheetFormatPr defaultColWidth="0" defaultRowHeight="15" customHeight="1" zeroHeight="1" x14ac:dyDescent="0.25"/>
  <cols>
    <col min="1" max="1" width="4.7109375" style="35" customWidth="1"/>
    <col min="2" max="2" width="18.42578125" style="35" customWidth="1"/>
    <col min="3" max="3" width="20.42578125" style="35" customWidth="1"/>
    <col min="4" max="6" width="18.42578125" style="35" customWidth="1"/>
    <col min="7" max="8" width="20.7109375" style="35" customWidth="1"/>
    <col min="9" max="9" width="15.140625" style="35" customWidth="1"/>
    <col min="10" max="10" width="8.5703125" style="35" customWidth="1"/>
    <col min="11" max="11" width="10" style="35" customWidth="1"/>
    <col min="12" max="13" width="0" style="35" hidden="1" customWidth="1"/>
    <col min="14" max="16384" width="9.140625" style="35" hidden="1"/>
  </cols>
  <sheetData>
    <row r="1" spans="1:12" ht="25.5" customHeight="1" x14ac:dyDescent="0.25">
      <c r="A1" s="1372" t="s">
        <v>1743</v>
      </c>
      <c r="B1" s="1372"/>
      <c r="C1" s="1372"/>
      <c r="D1" s="1372"/>
      <c r="E1" s="1372"/>
      <c r="F1" s="1372"/>
      <c r="G1" s="1372"/>
      <c r="H1" s="1372"/>
      <c r="I1" s="1372"/>
      <c r="J1" s="1372"/>
      <c r="K1" s="1372"/>
    </row>
    <row r="2" spans="1:12" ht="15" customHeight="1" x14ac:dyDescent="0.25">
      <c r="A2" s="45"/>
      <c r="B2" s="46"/>
      <c r="C2" s="46"/>
      <c r="D2" s="46"/>
      <c r="E2" s="46"/>
      <c r="F2" s="45"/>
      <c r="G2" s="45"/>
      <c r="H2" s="1753" t="s">
        <v>1285</v>
      </c>
      <c r="I2" s="1753"/>
      <c r="J2" s="622" t="s">
        <v>258</v>
      </c>
      <c r="K2" s="622"/>
    </row>
    <row r="3" spans="1:12" ht="15" customHeight="1" x14ac:dyDescent="0.25">
      <c r="A3" s="45"/>
      <c r="B3" s="46"/>
      <c r="C3" s="46"/>
      <c r="D3" s="46"/>
      <c r="E3" s="46"/>
      <c r="F3" s="45"/>
      <c r="G3" s="45"/>
      <c r="H3" s="1753"/>
      <c r="I3" s="1753"/>
      <c r="J3" s="622" t="s">
        <v>260</v>
      </c>
      <c r="K3" s="622" t="s">
        <v>1741</v>
      </c>
    </row>
    <row r="4" spans="1:12" ht="15" customHeight="1" x14ac:dyDescent="0.25">
      <c r="A4" s="45"/>
      <c r="B4" s="46"/>
      <c r="C4" s="46"/>
      <c r="D4" s="46"/>
      <c r="E4" s="46"/>
      <c r="F4" s="45"/>
      <c r="G4" s="45"/>
      <c r="H4" s="1754"/>
      <c r="I4" s="1754"/>
      <c r="J4" s="622" t="s">
        <v>261</v>
      </c>
      <c r="K4" s="622"/>
    </row>
    <row r="5" spans="1:12" ht="18" customHeight="1" x14ac:dyDescent="0.25">
      <c r="A5" s="1656" t="s">
        <v>2647</v>
      </c>
      <c r="B5" s="1657"/>
      <c r="C5" s="1657"/>
      <c r="D5" s="1657"/>
      <c r="E5" s="1657"/>
      <c r="F5" s="1657"/>
      <c r="G5" s="1657"/>
      <c r="H5" s="1657"/>
      <c r="I5" s="1657"/>
      <c r="J5" s="1657"/>
      <c r="K5" s="1657"/>
    </row>
    <row r="6" spans="1:12" ht="18" customHeight="1" x14ac:dyDescent="0.25">
      <c r="A6" s="1659"/>
      <c r="B6" s="1660"/>
      <c r="C6" s="1660"/>
      <c r="D6" s="1660"/>
      <c r="E6" s="1660"/>
      <c r="F6" s="1660"/>
      <c r="G6" s="1660"/>
      <c r="H6" s="1660"/>
      <c r="I6" s="1660"/>
      <c r="J6" s="1660"/>
      <c r="K6" s="1660"/>
    </row>
    <row r="7" spans="1:12" ht="18" customHeight="1" x14ac:dyDescent="0.25">
      <c r="A7" s="1662"/>
      <c r="B7" s="1663"/>
      <c r="C7" s="1663"/>
      <c r="D7" s="1663"/>
      <c r="E7" s="1663"/>
      <c r="F7" s="1663"/>
      <c r="G7" s="1663"/>
      <c r="H7" s="1663"/>
      <c r="I7" s="1663"/>
      <c r="J7" s="1663"/>
      <c r="K7" s="1663"/>
    </row>
    <row r="8" spans="1:12" ht="12" customHeight="1" x14ac:dyDescent="0.25">
      <c r="A8" s="45"/>
      <c r="B8" s="46"/>
      <c r="C8" s="46"/>
      <c r="D8" s="46"/>
      <c r="E8" s="46"/>
      <c r="F8" s="45"/>
      <c r="G8" s="45"/>
      <c r="H8" s="45"/>
      <c r="I8" s="45"/>
      <c r="J8" s="45"/>
      <c r="K8" s="45"/>
    </row>
    <row r="9" spans="1:12" ht="18" customHeight="1" x14ac:dyDescent="0.25">
      <c r="A9" s="2431" t="s">
        <v>82</v>
      </c>
      <c r="B9" s="2431"/>
      <c r="C9" s="2431"/>
      <c r="D9" s="2431"/>
      <c r="E9" s="2431"/>
      <c r="F9" s="2431"/>
      <c r="G9" s="2431"/>
      <c r="H9" s="2431"/>
      <c r="I9" s="2431"/>
      <c r="J9" s="2431"/>
      <c r="K9" s="2431"/>
    </row>
    <row r="10" spans="1:12" x14ac:dyDescent="0.25">
      <c r="A10" s="45"/>
      <c r="B10" s="46"/>
      <c r="C10" s="46"/>
      <c r="D10" s="46"/>
      <c r="E10" s="46"/>
      <c r="F10" s="45"/>
      <c r="G10" s="45"/>
      <c r="H10" s="45"/>
      <c r="I10" s="45"/>
      <c r="J10" s="45"/>
      <c r="K10" s="45"/>
    </row>
    <row r="11" spans="1:12" ht="21" customHeight="1" x14ac:dyDescent="0.25">
      <c r="A11" s="45"/>
      <c r="B11" s="2435" t="s">
        <v>83</v>
      </c>
      <c r="C11" s="2436"/>
      <c r="D11" s="2436"/>
      <c r="E11" s="2436"/>
      <c r="F11" s="444" t="s">
        <v>64</v>
      </c>
      <c r="G11" s="444" t="s">
        <v>16</v>
      </c>
      <c r="H11" s="52" t="s">
        <v>133</v>
      </c>
      <c r="I11" s="45"/>
      <c r="J11" s="45"/>
      <c r="K11" s="45"/>
    </row>
    <row r="12" spans="1:12" ht="21" customHeight="1" x14ac:dyDescent="0.25">
      <c r="A12" s="45"/>
      <c r="B12" s="2113" t="s">
        <v>1744</v>
      </c>
      <c r="C12" s="2114"/>
      <c r="D12" s="2114"/>
      <c r="E12" s="2115"/>
      <c r="F12" s="49">
        <v>1</v>
      </c>
      <c r="G12" s="145">
        <f>C56</f>
        <v>0</v>
      </c>
      <c r="H12" s="145" t="str">
        <f>C57</f>
        <v>No</v>
      </c>
      <c r="I12" s="45"/>
      <c r="J12" s="45"/>
      <c r="K12" s="45"/>
      <c r="L12" s="35" t="str">
        <f>IF(G12&lt;&gt;0,IF(H12="No","No","Yes"),"Yes")</f>
        <v>Yes</v>
      </c>
    </row>
    <row r="13" spans="1:12" ht="18" customHeight="1" x14ac:dyDescent="0.25">
      <c r="A13" s="45"/>
      <c r="B13" s="46"/>
      <c r="C13" s="46"/>
      <c r="D13" s="46"/>
      <c r="E13" s="46"/>
      <c r="F13" s="45"/>
      <c r="G13" s="45"/>
      <c r="H13" s="45"/>
      <c r="I13" s="45"/>
      <c r="J13" s="45"/>
      <c r="K13" s="45"/>
    </row>
    <row r="14" spans="1:12" ht="18" customHeight="1" x14ac:dyDescent="0.25">
      <c r="A14" s="2431" t="s">
        <v>839</v>
      </c>
      <c r="B14" s="2431"/>
      <c r="C14" s="2431"/>
      <c r="D14" s="2431"/>
      <c r="E14" s="2431"/>
      <c r="F14" s="2431"/>
      <c r="G14" s="2431"/>
      <c r="H14" s="2431"/>
      <c r="I14" s="2431"/>
      <c r="J14" s="2431"/>
      <c r="K14" s="2431"/>
    </row>
    <row r="15" spans="1:12" ht="12" customHeight="1" x14ac:dyDescent="0.25">
      <c r="A15" s="45"/>
      <c r="B15" s="46"/>
      <c r="C15" s="46"/>
      <c r="D15" s="46"/>
      <c r="E15" s="46"/>
      <c r="F15" s="45"/>
      <c r="G15" s="45"/>
      <c r="H15" s="45"/>
      <c r="I15" s="45"/>
      <c r="J15" s="45"/>
      <c r="K15" s="45"/>
    </row>
    <row r="16" spans="1:12" ht="16.5" customHeight="1" x14ac:dyDescent="0.25">
      <c r="A16" s="45"/>
      <c r="B16" s="2457" t="s">
        <v>1854</v>
      </c>
      <c r="C16" s="2458"/>
      <c r="D16" s="2458"/>
      <c r="E16" s="2458"/>
      <c r="F16" s="2458"/>
      <c r="G16" s="2458"/>
      <c r="H16" s="2458"/>
      <c r="I16" s="2458"/>
      <c r="J16" s="2459"/>
      <c r="K16" s="45"/>
    </row>
    <row r="17" spans="1:13" ht="27" customHeight="1" x14ac:dyDescent="0.25">
      <c r="A17" s="45"/>
      <c r="B17" s="2460" t="s">
        <v>1855</v>
      </c>
      <c r="C17" s="1777"/>
      <c r="D17" s="1777"/>
      <c r="E17" s="1777"/>
      <c r="F17" s="1777"/>
      <c r="G17" s="1777"/>
      <c r="H17" s="1777"/>
      <c r="I17" s="1777"/>
      <c r="J17" s="2461"/>
      <c r="K17" s="45"/>
    </row>
    <row r="18" spans="1:13" ht="16.5" customHeight="1" x14ac:dyDescent="0.25">
      <c r="A18" s="45"/>
      <c r="B18" s="2460" t="s">
        <v>1856</v>
      </c>
      <c r="C18" s="1777"/>
      <c r="D18" s="1777"/>
      <c r="E18" s="1777"/>
      <c r="F18" s="1777"/>
      <c r="G18" s="1777"/>
      <c r="H18" s="1777"/>
      <c r="I18" s="1777"/>
      <c r="J18" s="2461"/>
      <c r="K18" s="45"/>
    </row>
    <row r="19" spans="1:13" ht="27" customHeight="1" x14ac:dyDescent="0.25">
      <c r="A19" s="45"/>
      <c r="B19" s="2462" t="s">
        <v>1857</v>
      </c>
      <c r="C19" s="2463"/>
      <c r="D19" s="2463"/>
      <c r="E19" s="2463"/>
      <c r="F19" s="2463"/>
      <c r="G19" s="2463"/>
      <c r="H19" s="2463"/>
      <c r="I19" s="2463"/>
      <c r="J19" s="2464"/>
      <c r="K19" s="45"/>
    </row>
    <row r="20" spans="1:13" x14ac:dyDescent="0.25">
      <c r="A20" s="45"/>
      <c r="B20" s="46"/>
      <c r="C20" s="46"/>
      <c r="D20" s="46"/>
      <c r="E20" s="46"/>
      <c r="F20" s="45"/>
      <c r="G20" s="45"/>
      <c r="H20" s="45"/>
      <c r="I20" s="45"/>
      <c r="J20" s="45"/>
      <c r="K20" s="45"/>
    </row>
    <row r="21" spans="1:13" ht="18" customHeight="1" x14ac:dyDescent="0.25">
      <c r="A21" s="2431" t="s">
        <v>102</v>
      </c>
      <c r="B21" s="2431"/>
      <c r="C21" s="2431"/>
      <c r="D21" s="2431"/>
      <c r="E21" s="2431"/>
      <c r="F21" s="2431"/>
      <c r="G21" s="2431"/>
      <c r="H21" s="2431"/>
      <c r="I21" s="2431"/>
      <c r="J21" s="2431"/>
      <c r="K21" s="2431"/>
    </row>
    <row r="22" spans="1:13" ht="12" customHeight="1" x14ac:dyDescent="0.25">
      <c r="A22" s="45"/>
      <c r="B22" s="46"/>
      <c r="C22" s="46"/>
      <c r="D22" s="46"/>
      <c r="E22" s="46"/>
      <c r="F22" s="45"/>
      <c r="G22" s="45"/>
      <c r="H22" s="45"/>
      <c r="I22" s="45"/>
      <c r="J22" s="45"/>
      <c r="K22" s="45"/>
    </row>
    <row r="23" spans="1:13" ht="13.5" customHeight="1" x14ac:dyDescent="0.25">
      <c r="A23" s="45"/>
      <c r="B23" s="2467" t="s">
        <v>1249</v>
      </c>
      <c r="C23" s="2467"/>
      <c r="D23" s="2467"/>
      <c r="E23" s="2467"/>
      <c r="F23" s="2467"/>
      <c r="G23" s="2467"/>
      <c r="H23" s="2467"/>
      <c r="I23" s="2467"/>
      <c r="J23" s="45"/>
      <c r="K23" s="45"/>
    </row>
    <row r="24" spans="1:13" ht="13.5" customHeight="1" x14ac:dyDescent="0.25">
      <c r="A24" s="45"/>
      <c r="B24" s="2467"/>
      <c r="C24" s="2467"/>
      <c r="D24" s="2467"/>
      <c r="E24" s="2467"/>
      <c r="F24" s="2467"/>
      <c r="G24" s="2467"/>
      <c r="H24" s="2467"/>
      <c r="I24" s="2467"/>
      <c r="J24" s="45"/>
      <c r="K24" s="45"/>
    </row>
    <row r="25" spans="1:13" ht="13.5" customHeight="1" x14ac:dyDescent="0.25">
      <c r="A25" s="45"/>
      <c r="B25" s="46"/>
      <c r="C25" s="46"/>
      <c r="D25" s="46"/>
      <c r="E25" s="46"/>
      <c r="F25" s="45"/>
      <c r="G25" s="45"/>
      <c r="H25" s="45"/>
      <c r="I25" s="45"/>
      <c r="J25" s="45"/>
      <c r="K25" s="45"/>
    </row>
    <row r="26" spans="1:13" x14ac:dyDescent="0.25">
      <c r="A26" s="45"/>
      <c r="B26" s="624" t="s">
        <v>890</v>
      </c>
      <c r="C26" s="46"/>
      <c r="D26" s="46"/>
      <c r="E26" s="46"/>
      <c r="F26" s="45"/>
      <c r="G26" s="45"/>
      <c r="H26" s="45"/>
      <c r="I26" s="45"/>
      <c r="J26" s="45"/>
      <c r="K26" s="45"/>
    </row>
    <row r="27" spans="1:13" x14ac:dyDescent="0.25">
      <c r="A27" s="45"/>
      <c r="B27" s="46"/>
      <c r="C27" s="46"/>
      <c r="D27" s="46"/>
      <c r="E27" s="46"/>
      <c r="F27" s="45"/>
      <c r="G27" s="45"/>
      <c r="H27" s="45"/>
      <c r="I27" s="45"/>
      <c r="J27" s="45"/>
      <c r="K27" s="45"/>
    </row>
    <row r="28" spans="1:13" ht="18" customHeight="1" x14ac:dyDescent="0.25">
      <c r="A28" s="45"/>
      <c r="B28" s="685" t="s">
        <v>1031</v>
      </c>
      <c r="C28" s="45"/>
      <c r="D28" s="45"/>
      <c r="E28" s="45"/>
      <c r="F28" s="45"/>
      <c r="G28" s="45"/>
      <c r="H28" s="45"/>
      <c r="I28" s="45"/>
      <c r="J28" s="45"/>
      <c r="K28" s="45"/>
      <c r="L28" s="53"/>
      <c r="M28" s="53"/>
    </row>
    <row r="29" spans="1:13" ht="12" customHeight="1" x14ac:dyDescent="0.25">
      <c r="A29" s="45"/>
      <c r="B29" s="45"/>
      <c r="C29" s="45"/>
      <c r="D29" s="45"/>
      <c r="E29" s="45"/>
      <c r="F29" s="45"/>
      <c r="G29" s="45"/>
      <c r="H29" s="45"/>
      <c r="I29" s="45"/>
      <c r="J29" s="45"/>
      <c r="K29" s="45"/>
      <c r="L29" s="53"/>
      <c r="M29" s="53"/>
    </row>
    <row r="30" spans="1:13" ht="18.75" customHeight="1" x14ac:dyDescent="0.25">
      <c r="A30" s="45"/>
      <c r="B30" s="2419" t="s">
        <v>1202</v>
      </c>
      <c r="C30" s="2420"/>
      <c r="D30" s="2420"/>
      <c r="E30" s="2420"/>
      <c r="F30" s="754" t="str">
        <f>IF('Project information'!$C$7="Certification stage","Commissioned?","To be commissioned?")</f>
        <v>Commissioned?</v>
      </c>
      <c r="G30" s="2441" t="s">
        <v>1266</v>
      </c>
      <c r="H30" s="2442"/>
      <c r="I30" s="45"/>
      <c r="J30" s="45"/>
      <c r="K30" s="45"/>
      <c r="L30" s="53"/>
      <c r="M30" s="53"/>
    </row>
    <row r="31" spans="1:13" ht="18" customHeight="1" x14ac:dyDescent="0.25">
      <c r="A31" s="45"/>
      <c r="B31" s="1726" t="s">
        <v>1203</v>
      </c>
      <c r="C31" s="1726"/>
      <c r="D31" s="1726"/>
      <c r="E31" s="1726"/>
      <c r="F31" s="717" t="s">
        <v>53</v>
      </c>
      <c r="G31" s="1689"/>
      <c r="H31" s="1690"/>
      <c r="I31" s="45"/>
      <c r="J31" s="45"/>
      <c r="K31" s="45"/>
      <c r="L31" s="35" t="str">
        <f>IF(OR(F31="Yes",F31="N/A"),"Yes","No")</f>
        <v>No</v>
      </c>
      <c r="M31" s="53" t="str">
        <f>IF(F31="N/A","Yes","No")</f>
        <v>No</v>
      </c>
    </row>
    <row r="32" spans="1:13" ht="18" customHeight="1" x14ac:dyDescent="0.25">
      <c r="A32" s="45"/>
      <c r="B32" s="1726" t="s">
        <v>1204</v>
      </c>
      <c r="C32" s="1726"/>
      <c r="D32" s="1726"/>
      <c r="E32" s="1726"/>
      <c r="F32" s="825" t="s">
        <v>53</v>
      </c>
      <c r="G32" s="1689"/>
      <c r="H32" s="1690"/>
      <c r="I32" s="45"/>
      <c r="J32" s="45"/>
      <c r="K32" s="45"/>
      <c r="L32" s="35" t="str">
        <f t="shared" ref="L32:L33" si="0">IF(OR(F32="Yes",F32="N/A"),"Yes","No")</f>
        <v>No</v>
      </c>
      <c r="M32" s="53" t="str">
        <f t="shared" ref="M32:M34" si="1">IF(F32="N/A","Yes","No")</f>
        <v>No</v>
      </c>
    </row>
    <row r="33" spans="1:13" ht="18" customHeight="1" x14ac:dyDescent="0.25">
      <c r="A33" s="45"/>
      <c r="B33" s="1726" t="s">
        <v>1205</v>
      </c>
      <c r="C33" s="1726"/>
      <c r="D33" s="1726"/>
      <c r="E33" s="1726"/>
      <c r="F33" s="825" t="s">
        <v>53</v>
      </c>
      <c r="G33" s="1689"/>
      <c r="H33" s="1690"/>
      <c r="I33" s="45"/>
      <c r="J33" s="45"/>
      <c r="K33" s="45"/>
      <c r="L33" s="35" t="str">
        <f t="shared" si="0"/>
        <v>No</v>
      </c>
      <c r="M33" s="53" t="str">
        <f t="shared" si="1"/>
        <v>No</v>
      </c>
    </row>
    <row r="34" spans="1:13" ht="18" customHeight="1" x14ac:dyDescent="0.25">
      <c r="A34" s="45"/>
      <c r="B34" s="1726" t="s">
        <v>2187</v>
      </c>
      <c r="C34" s="1726"/>
      <c r="D34" s="1726"/>
      <c r="E34" s="1726"/>
      <c r="F34" s="825" t="s">
        <v>53</v>
      </c>
      <c r="G34" s="1689"/>
      <c r="H34" s="1690"/>
      <c r="I34" s="45"/>
      <c r="J34" s="45"/>
      <c r="K34" s="45"/>
      <c r="L34" s="35" t="str">
        <f>IF(OR(F34="Yes",F34="N/A"),"Yes","No")</f>
        <v>No</v>
      </c>
      <c r="M34" s="53" t="str">
        <f t="shared" si="1"/>
        <v>No</v>
      </c>
    </row>
    <row r="35" spans="1:13" ht="18" customHeight="1" x14ac:dyDescent="0.25">
      <c r="A35" s="45"/>
      <c r="B35" s="1726" t="s">
        <v>1207</v>
      </c>
      <c r="C35" s="1726"/>
      <c r="D35" s="1726"/>
      <c r="E35" s="1726"/>
      <c r="F35" s="825" t="s">
        <v>53</v>
      </c>
      <c r="G35" s="1689"/>
      <c r="H35" s="1690"/>
      <c r="I35" s="45"/>
      <c r="J35" s="45"/>
      <c r="K35" s="45"/>
      <c r="L35" s="35" t="str">
        <f t="shared" ref="L35:L36" si="2">IF(OR(F35="Yes",F35="N/A"),"Yes","No")</f>
        <v>No</v>
      </c>
      <c r="M35" s="53" t="str">
        <f t="shared" ref="M35:M36" si="3">IF(F35="N/A","Yes","No")</f>
        <v>No</v>
      </c>
    </row>
    <row r="36" spans="1:13" ht="18" customHeight="1" x14ac:dyDescent="0.25">
      <c r="A36" s="45"/>
      <c r="B36" s="1726" t="s">
        <v>1206</v>
      </c>
      <c r="C36" s="1726"/>
      <c r="D36" s="1726"/>
      <c r="E36" s="1726"/>
      <c r="F36" s="825" t="s">
        <v>53</v>
      </c>
      <c r="G36" s="1689"/>
      <c r="H36" s="1690"/>
      <c r="I36" s="45"/>
      <c r="J36" s="45"/>
      <c r="K36" s="45"/>
      <c r="L36" s="35" t="str">
        <f t="shared" si="2"/>
        <v>No</v>
      </c>
      <c r="M36" s="53" t="str">
        <f t="shared" si="3"/>
        <v>No</v>
      </c>
    </row>
    <row r="37" spans="1:13" x14ac:dyDescent="0.25">
      <c r="A37" s="45"/>
      <c r="B37" s="46"/>
      <c r="C37" s="46"/>
      <c r="D37" s="46"/>
      <c r="E37" s="46"/>
      <c r="F37" s="45"/>
      <c r="G37" s="45"/>
      <c r="H37" s="45"/>
      <c r="I37" s="45"/>
      <c r="J37" s="45"/>
      <c r="K37" s="45"/>
    </row>
    <row r="38" spans="1:13" ht="18" customHeight="1" x14ac:dyDescent="0.25">
      <c r="A38" s="45"/>
      <c r="B38" s="2419" t="s">
        <v>1422</v>
      </c>
      <c r="C38" s="2420"/>
      <c r="D38" s="2420"/>
      <c r="E38" s="2420"/>
      <c r="F38" s="2420"/>
      <c r="G38" s="829" t="str">
        <f>IF('Project information'!$C$7="Certification stage","Completed?","To be completed?")</f>
        <v>Completed?</v>
      </c>
      <c r="H38" s="45"/>
      <c r="I38" s="45"/>
      <c r="J38" s="45"/>
      <c r="K38" s="45"/>
    </row>
    <row r="39" spans="1:13" ht="18" customHeight="1" x14ac:dyDescent="0.25">
      <c r="A39" s="45"/>
      <c r="B39" s="2465" t="s">
        <v>1423</v>
      </c>
      <c r="C39" s="2466"/>
      <c r="D39" s="2466"/>
      <c r="E39" s="2466"/>
      <c r="F39" s="2466"/>
      <c r="G39" s="2466"/>
      <c r="H39" s="45"/>
      <c r="I39" s="45"/>
      <c r="J39" s="45"/>
      <c r="K39" s="45"/>
    </row>
    <row r="40" spans="1:13" ht="18" customHeight="1" x14ac:dyDescent="0.25">
      <c r="A40" s="45"/>
      <c r="B40" s="1648" t="s">
        <v>1900</v>
      </c>
      <c r="C40" s="1649"/>
      <c r="D40" s="1649"/>
      <c r="E40" s="1649"/>
      <c r="F40" s="1650"/>
      <c r="G40" s="825" t="s">
        <v>53</v>
      </c>
      <c r="H40" s="45"/>
      <c r="I40" s="45"/>
      <c r="J40" s="45"/>
      <c r="K40" s="45"/>
    </row>
    <row r="41" spans="1:13" ht="18" customHeight="1" x14ac:dyDescent="0.25">
      <c r="A41" s="45"/>
      <c r="B41" s="1648" t="s">
        <v>1420</v>
      </c>
      <c r="C41" s="1649"/>
      <c r="D41" s="1649"/>
      <c r="E41" s="1649"/>
      <c r="F41" s="1650"/>
      <c r="G41" s="825" t="s">
        <v>53</v>
      </c>
      <c r="H41" s="45"/>
      <c r="I41" s="45"/>
      <c r="J41" s="45"/>
      <c r="K41" s="45"/>
    </row>
    <row r="42" spans="1:13" ht="18" customHeight="1" x14ac:dyDescent="0.25">
      <c r="A42" s="45"/>
      <c r="B42" s="1648" t="s">
        <v>1421</v>
      </c>
      <c r="C42" s="1649"/>
      <c r="D42" s="1649"/>
      <c r="E42" s="1649"/>
      <c r="F42" s="1650"/>
      <c r="G42" s="825" t="s">
        <v>53</v>
      </c>
      <c r="H42" s="45"/>
      <c r="I42" s="45"/>
      <c r="J42" s="45"/>
      <c r="K42" s="45"/>
    </row>
    <row r="43" spans="1:13" ht="18" customHeight="1" x14ac:dyDescent="0.25">
      <c r="A43" s="45"/>
      <c r="B43" s="2465" t="s">
        <v>2326</v>
      </c>
      <c r="C43" s="2466"/>
      <c r="D43" s="2466"/>
      <c r="E43" s="2466"/>
      <c r="F43" s="2466"/>
      <c r="G43" s="2466" t="e">
        <f>IF('Project information'!#REF!="Full Certification stage","Completed?","To be completed?")</f>
        <v>#REF!</v>
      </c>
      <c r="H43" s="45"/>
      <c r="I43" s="45"/>
      <c r="J43" s="45"/>
      <c r="K43" s="45"/>
    </row>
    <row r="44" spans="1:13" ht="18" customHeight="1" x14ac:dyDescent="0.25">
      <c r="A44" s="45"/>
      <c r="B44" s="1648" t="s">
        <v>1424</v>
      </c>
      <c r="C44" s="1649"/>
      <c r="D44" s="1649"/>
      <c r="E44" s="1649"/>
      <c r="F44" s="1650"/>
      <c r="G44" s="825" t="s">
        <v>53</v>
      </c>
      <c r="H44" s="45"/>
      <c r="I44" s="45"/>
      <c r="J44" s="45"/>
      <c r="K44" s="45"/>
    </row>
    <row r="45" spans="1:13" ht="18" customHeight="1" x14ac:dyDescent="0.25">
      <c r="A45" s="45"/>
      <c r="B45" s="46"/>
      <c r="C45" s="46"/>
      <c r="D45" s="46"/>
      <c r="E45" s="46"/>
      <c r="F45" s="45"/>
      <c r="G45" s="45"/>
      <c r="H45" s="45"/>
      <c r="I45" s="45"/>
      <c r="J45" s="45"/>
      <c r="K45" s="45"/>
    </row>
    <row r="46" spans="1:13" ht="19.5" customHeight="1" x14ac:dyDescent="0.25">
      <c r="A46" s="45"/>
      <c r="B46" s="2439" t="s">
        <v>1187</v>
      </c>
      <c r="C46" s="2439"/>
      <c r="D46" s="2439"/>
      <c r="E46" s="116" t="str">
        <f>IF(COUNTIF(M31:M36,"Yes")=7,"No",IF(COUNTIF(L31:L36,"Yes")=7,IF(AND(G40="Yes",G41="Yes",G42="Yes",OR(G44="Yes",G44="N/A")),"Yes","No"),"No"))</f>
        <v>No</v>
      </c>
      <c r="F46" s="45"/>
      <c r="G46" s="45"/>
      <c r="H46" s="45"/>
      <c r="I46" s="45"/>
      <c r="J46" s="45"/>
      <c r="K46" s="45"/>
    </row>
    <row r="47" spans="1:13" ht="19.5" customHeight="1" x14ac:dyDescent="0.25">
      <c r="A47" s="45"/>
      <c r="B47" s="46"/>
      <c r="C47" s="46"/>
      <c r="D47" s="46"/>
      <c r="E47" s="45"/>
      <c r="F47" s="45"/>
      <c r="G47" s="45"/>
      <c r="H47" s="45"/>
      <c r="I47" s="45"/>
      <c r="J47" s="45"/>
      <c r="K47" s="45"/>
    </row>
    <row r="48" spans="1:13" ht="18" customHeight="1" x14ac:dyDescent="0.25">
      <c r="A48" s="2431" t="s">
        <v>84</v>
      </c>
      <c r="B48" s="2431"/>
      <c r="C48" s="2431"/>
      <c r="D48" s="2431"/>
      <c r="E48" s="2431"/>
      <c r="F48" s="2431"/>
      <c r="G48" s="2431"/>
      <c r="H48" s="2431"/>
      <c r="I48" s="2431"/>
      <c r="J48" s="2431"/>
      <c r="K48" s="2431"/>
    </row>
    <row r="49" spans="1:12" x14ac:dyDescent="0.25">
      <c r="A49" s="45"/>
      <c r="B49" s="46"/>
      <c r="C49" s="46"/>
      <c r="D49" s="46"/>
      <c r="E49" s="45"/>
      <c r="F49" s="45"/>
      <c r="G49" s="45"/>
      <c r="H49" s="45"/>
      <c r="I49" s="45"/>
      <c r="J49" s="45"/>
      <c r="K49" s="45"/>
    </row>
    <row r="50" spans="1:12" ht="21" customHeight="1" x14ac:dyDescent="0.25">
      <c r="A50" s="45"/>
      <c r="B50" s="2419" t="s">
        <v>85</v>
      </c>
      <c r="C50" s="2420"/>
      <c r="D50" s="2420"/>
      <c r="E50" s="2420"/>
      <c r="F50" s="2420"/>
      <c r="G50" s="660" t="s">
        <v>907</v>
      </c>
      <c r="H50" s="2441" t="s">
        <v>908</v>
      </c>
      <c r="I50" s="2442"/>
      <c r="J50" s="45"/>
      <c r="K50" s="45"/>
    </row>
    <row r="51" spans="1:12" ht="27" customHeight="1" x14ac:dyDescent="0.25">
      <c r="A51" s="45"/>
      <c r="B51" s="1648" t="str">
        <f>Submittals!G148</f>
        <v>• Commissioning records showing results of all the tests performed</v>
      </c>
      <c r="C51" s="1649"/>
      <c r="D51" s="1649"/>
      <c r="E51" s="1649"/>
      <c r="F51" s="1650"/>
      <c r="G51" s="657" t="s">
        <v>53</v>
      </c>
      <c r="H51" s="1689"/>
      <c r="I51" s="1690"/>
      <c r="J51" s="45"/>
      <c r="K51" s="45"/>
      <c r="L51" s="35" t="str">
        <f>IF(OR(B51="/",B51="No evidence required at this submission stage"),"Yes",IF(G51="Submitted","Yes","No"))</f>
        <v>No</v>
      </c>
    </row>
    <row r="52" spans="1:12" ht="27" hidden="1" customHeight="1" x14ac:dyDescent="0.25">
      <c r="A52" s="45"/>
      <c r="B52" s="1648" t="str">
        <f>Submittals!G149</f>
        <v>/</v>
      </c>
      <c r="C52" s="1649"/>
      <c r="D52" s="1649"/>
      <c r="E52" s="1649"/>
      <c r="F52" s="1650"/>
      <c r="G52" s="657" t="s">
        <v>53</v>
      </c>
      <c r="H52" s="1739"/>
      <c r="I52" s="2103"/>
      <c r="J52" s="45"/>
      <c r="K52" s="45"/>
      <c r="L52" s="35" t="str">
        <f>IF(OR(B52="/",B52="No evidence required at this submission stage"),"Yes",IF(G52="Submitted","Yes","No"))</f>
        <v>Yes</v>
      </c>
    </row>
    <row r="53" spans="1:12" x14ac:dyDescent="0.25">
      <c r="A53" s="45"/>
      <c r="B53" s="45"/>
      <c r="C53" s="45"/>
      <c r="D53" s="45"/>
      <c r="E53" s="45"/>
      <c r="F53" s="45"/>
      <c r="G53" s="45"/>
      <c r="H53" s="45"/>
      <c r="I53" s="45"/>
      <c r="J53" s="45"/>
      <c r="K53" s="45"/>
    </row>
    <row r="54" spans="1:12" ht="18" customHeight="1" x14ac:dyDescent="0.25">
      <c r="A54" s="2431" t="s">
        <v>5</v>
      </c>
      <c r="B54" s="2431"/>
      <c r="C54" s="2431"/>
      <c r="D54" s="2431"/>
      <c r="E54" s="2431"/>
      <c r="F54" s="2431"/>
      <c r="G54" s="2431"/>
      <c r="H54" s="2431"/>
      <c r="I54" s="2431"/>
      <c r="J54" s="2431"/>
      <c r="K54" s="2431"/>
    </row>
    <row r="55" spans="1:12" ht="16.5" customHeight="1" x14ac:dyDescent="0.25">
      <c r="A55" s="45"/>
      <c r="B55" s="46"/>
      <c r="C55" s="46"/>
      <c r="D55" s="46"/>
      <c r="E55" s="46"/>
      <c r="F55" s="45"/>
      <c r="G55" s="45"/>
      <c r="H55" s="45"/>
      <c r="I55" s="45"/>
      <c r="J55" s="45"/>
      <c r="K55" s="45"/>
    </row>
    <row r="56" spans="1:12" ht="18" customHeight="1" x14ac:dyDescent="0.25">
      <c r="A56" s="45"/>
      <c r="B56" s="143" t="s">
        <v>16</v>
      </c>
      <c r="C56" s="8">
        <f>IF(E46="Yes",1,0)</f>
        <v>0</v>
      </c>
      <c r="D56" s="46"/>
      <c r="E56" s="45"/>
      <c r="F56" s="45"/>
      <c r="G56" s="45"/>
      <c r="H56" s="45"/>
      <c r="I56" s="45"/>
      <c r="J56" s="45"/>
      <c r="K56" s="45"/>
    </row>
    <row r="57" spans="1:12" ht="18" customHeight="1" x14ac:dyDescent="0.25">
      <c r="A57" s="45"/>
      <c r="B57" s="143" t="s">
        <v>133</v>
      </c>
      <c r="C57" s="108" t="str">
        <f>IF(AND(COUNTIF(L51:L51,"Yes")=1,C56&gt;0),"Yes","No")</f>
        <v>No</v>
      </c>
      <c r="D57" s="46"/>
      <c r="E57" s="46"/>
      <c r="F57" s="45"/>
      <c r="G57" s="45"/>
      <c r="H57" s="45"/>
      <c r="I57" s="45"/>
      <c r="J57" s="45"/>
      <c r="K57" s="45"/>
    </row>
    <row r="58" spans="1:12" ht="21" customHeight="1" x14ac:dyDescent="0.25">
      <c r="A58" s="45"/>
      <c r="B58" s="46"/>
      <c r="C58" s="46"/>
      <c r="D58" s="46"/>
      <c r="E58" s="46"/>
      <c r="F58" s="45"/>
      <c r="G58" s="45"/>
      <c r="H58" s="45"/>
      <c r="I58" s="45"/>
      <c r="J58" s="45"/>
      <c r="K58" s="45"/>
    </row>
    <row r="59" spans="1:12" hidden="1" x14ac:dyDescent="0.25">
      <c r="A59" s="45"/>
      <c r="B59" s="46"/>
      <c r="C59" s="46"/>
      <c r="D59" s="46"/>
      <c r="E59" s="46"/>
      <c r="F59" s="45"/>
      <c r="G59" s="45"/>
      <c r="H59" s="45"/>
      <c r="I59" s="45"/>
      <c r="J59" s="45"/>
      <c r="K59" s="45"/>
    </row>
    <row r="60" spans="1:12" hidden="1" x14ac:dyDescent="0.25">
      <c r="A60" s="45"/>
      <c r="B60" s="46"/>
      <c r="C60" s="46"/>
      <c r="D60" s="46"/>
      <c r="E60" s="46"/>
      <c r="F60" s="45"/>
      <c r="G60" s="45"/>
      <c r="H60" s="45"/>
      <c r="I60" s="45"/>
      <c r="J60" s="45"/>
      <c r="K60" s="45"/>
    </row>
    <row r="61" spans="1:12" hidden="1" x14ac:dyDescent="0.25">
      <c r="J61" s="45"/>
      <c r="K61" s="45"/>
    </row>
    <row r="62" spans="1:12" hidden="1" x14ac:dyDescent="0.25">
      <c r="J62" s="45"/>
      <c r="K62" s="45"/>
    </row>
    <row r="63" spans="1:12" hidden="1" x14ac:dyDescent="0.25">
      <c r="J63" s="45"/>
      <c r="K63" s="45"/>
    </row>
    <row r="64" spans="1:12"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sheetData>
  <sheetProtection algorithmName="SHA-512" hashValue="ZRjKsAHU/hVzpb9fDlusaQGtOkD/Rl7NHYu6NzgksmtikpfNVXqCMd9CubqNkUmCAWfs2gXki1bAj7JzP81LXQ==" saltValue="WYHYPorvGtFiZOt8pM32ow==" spinCount="100000" sheet="1" objects="1" scenarios="1" formatRows="0"/>
  <mergeCells count="43">
    <mergeCell ref="A54:K54"/>
    <mergeCell ref="B52:F52"/>
    <mergeCell ref="B50:F50"/>
    <mergeCell ref="H50:I50"/>
    <mergeCell ref="B23:I24"/>
    <mergeCell ref="B46:D46"/>
    <mergeCell ref="H51:I51"/>
    <mergeCell ref="H52:I52"/>
    <mergeCell ref="B51:F51"/>
    <mergeCell ref="B30:E30"/>
    <mergeCell ref="B33:E33"/>
    <mergeCell ref="B34:E34"/>
    <mergeCell ref="B35:E35"/>
    <mergeCell ref="A48:K48"/>
    <mergeCell ref="G35:H35"/>
    <mergeCell ref="G36:H36"/>
    <mergeCell ref="A1:K1"/>
    <mergeCell ref="A5:K7"/>
    <mergeCell ref="H2:I4"/>
    <mergeCell ref="B11:E11"/>
    <mergeCell ref="B12:E12"/>
    <mergeCell ref="A9:K9"/>
    <mergeCell ref="B36:E36"/>
    <mergeCell ref="B41:F41"/>
    <mergeCell ref="B42:F42"/>
    <mergeCell ref="B44:F44"/>
    <mergeCell ref="B39:G39"/>
    <mergeCell ref="B43:G43"/>
    <mergeCell ref="B40:F40"/>
    <mergeCell ref="B38:F38"/>
    <mergeCell ref="G34:H34"/>
    <mergeCell ref="G30:H30"/>
    <mergeCell ref="G31:H31"/>
    <mergeCell ref="G32:H32"/>
    <mergeCell ref="B31:E31"/>
    <mergeCell ref="B32:E32"/>
    <mergeCell ref="A14:K14"/>
    <mergeCell ref="G33:H33"/>
    <mergeCell ref="B16:J16"/>
    <mergeCell ref="B17:J17"/>
    <mergeCell ref="B18:J18"/>
    <mergeCell ref="B19:J19"/>
    <mergeCell ref="A21:K21"/>
  </mergeCells>
  <conditionalFormatting sqref="G51:H52 G31:G36">
    <cfRule type="expression" dxfId="51" priority="8">
      <formula>$B31="No evidence required at this submission stage"</formula>
    </cfRule>
    <cfRule type="expression" dxfId="50" priority="9">
      <formula>$B31="/"</formula>
    </cfRule>
  </conditionalFormatting>
  <dataValidations count="3">
    <dataValidation type="list" allowBlank="1" showInputMessage="1" showErrorMessage="1" sqref="G51:G52" xr:uid="{00000000-0002-0000-2F00-000000000000}">
      <formula1>"Select,Submitted,Not submitted"</formula1>
    </dataValidation>
    <dataValidation type="list" allowBlank="1" showInputMessage="1" showErrorMessage="1" sqref="G40:G42" xr:uid="{00000000-0002-0000-2F00-000001000000}">
      <formula1>"Select,Yes,No"</formula1>
    </dataValidation>
    <dataValidation type="list" allowBlank="1" showInputMessage="1" showErrorMessage="1" prompt="Select 'N/A' when not applicable to the project" sqref="G44 F31:F36" xr:uid="{00000000-0002-0000-2F00-000002000000}">
      <formula1>"Select,Yes,No,N/A"</formula1>
    </dataValidation>
  </dataValidations>
  <hyperlinks>
    <hyperlink ref="J2" location="'Man-1 Construction Stage'!B3" tooltip="Man-1" display="Man-1" xr:uid="{00000000-0004-0000-2F00-000000000000}"/>
    <hyperlink ref="K3" location="'Man BPC'!B3" tooltip="Man-BPC" display="Man-BPC" xr:uid="{00000000-0004-0000-2F00-000001000000}"/>
    <hyperlink ref="J3" location="'Man-3 Maintenance'!B3" tooltip="Man-3" display="Man-3" xr:uid="{00000000-0004-0000-2F00-000002000000}"/>
    <hyperlink ref="J4" location="'Man-4 Green Awareness '!B3" tooltip="Man-4" display="Man-4" xr:uid="{00000000-0004-0000-2F00-000003000000}"/>
  </hyperlinks>
  <pageMargins left="0.7" right="0.7" top="0.75" bottom="0.75" header="0.3" footer="0.3"/>
  <pageSetup orientation="portrait"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tabColor rgb="FF984806"/>
  </sheetPr>
  <dimension ref="A1:M125"/>
  <sheetViews>
    <sheetView showRowColHeaders="0" workbookViewId="0">
      <pane ySplit="8" topLeftCell="A60" activePane="bottomLeft" state="frozen"/>
      <selection activeCell="B19" sqref="B19:E19"/>
      <selection pane="bottomLeft" activeCell="B63" sqref="B63:E63"/>
    </sheetView>
  </sheetViews>
  <sheetFormatPr defaultColWidth="0" defaultRowHeight="15" customHeight="1" zeroHeight="1" x14ac:dyDescent="0.25"/>
  <cols>
    <col min="1" max="1" width="4.7109375" style="35" customWidth="1"/>
    <col min="2" max="2" width="18.42578125" style="35" customWidth="1"/>
    <col min="3" max="3" width="17" style="35" customWidth="1"/>
    <col min="4" max="6" width="18.42578125" style="35" customWidth="1"/>
    <col min="7" max="7" width="18.28515625" style="35" customWidth="1"/>
    <col min="8" max="8" width="21.7109375" style="35" customWidth="1"/>
    <col min="9" max="9" width="16.7109375" style="35" customWidth="1"/>
    <col min="10" max="10" width="11.85546875" style="35" customWidth="1"/>
    <col min="11" max="11" width="9.140625" style="35" customWidth="1"/>
    <col min="12" max="16384" width="9.140625" style="35" hidden="1"/>
  </cols>
  <sheetData>
    <row r="1" spans="1:12" ht="25.5" customHeight="1" x14ac:dyDescent="0.25">
      <c r="A1" s="1372" t="s">
        <v>1746</v>
      </c>
      <c r="B1" s="1372"/>
      <c r="C1" s="1372"/>
      <c r="D1" s="1372"/>
      <c r="E1" s="1372"/>
      <c r="F1" s="1372"/>
      <c r="G1" s="1372"/>
      <c r="H1" s="1372"/>
      <c r="I1" s="1372"/>
      <c r="J1" s="1372"/>
      <c r="K1" s="1372"/>
    </row>
    <row r="2" spans="1:12" ht="15" customHeight="1" x14ac:dyDescent="0.25">
      <c r="A2" s="45"/>
      <c r="B2" s="46"/>
      <c r="C2" s="46"/>
      <c r="D2" s="46"/>
      <c r="E2" s="46"/>
      <c r="F2" s="45"/>
      <c r="G2" s="45"/>
      <c r="H2" s="1753" t="s">
        <v>1285</v>
      </c>
      <c r="I2" s="1753"/>
      <c r="J2" s="622" t="s">
        <v>258</v>
      </c>
      <c r="K2" s="622"/>
    </row>
    <row r="3" spans="1:12" ht="15" customHeight="1" x14ac:dyDescent="0.25">
      <c r="A3" s="45"/>
      <c r="B3" s="46"/>
      <c r="C3" s="46"/>
      <c r="D3" s="46"/>
      <c r="E3" s="46"/>
      <c r="F3" s="45"/>
      <c r="G3" s="45"/>
      <c r="H3" s="1753"/>
      <c r="I3" s="1753"/>
      <c r="J3" s="622" t="s">
        <v>259</v>
      </c>
      <c r="K3" s="622" t="s">
        <v>1741</v>
      </c>
    </row>
    <row r="4" spans="1:12" ht="15" customHeight="1" x14ac:dyDescent="0.25">
      <c r="A4" s="45"/>
      <c r="B4" s="46"/>
      <c r="C4" s="46"/>
      <c r="D4" s="46"/>
      <c r="E4" s="46"/>
      <c r="F4" s="45"/>
      <c r="G4" s="45"/>
      <c r="H4" s="1754"/>
      <c r="I4" s="1754"/>
      <c r="J4" s="622" t="s">
        <v>261</v>
      </c>
      <c r="K4" s="622"/>
    </row>
    <row r="5" spans="1:12" ht="21" customHeight="1" x14ac:dyDescent="0.25">
      <c r="A5" s="1656" t="s">
        <v>2648</v>
      </c>
      <c r="B5" s="1657"/>
      <c r="C5" s="1657"/>
      <c r="D5" s="1657"/>
      <c r="E5" s="1657"/>
      <c r="F5" s="1657"/>
      <c r="G5" s="1657"/>
      <c r="H5" s="1657"/>
      <c r="I5" s="1657"/>
      <c r="J5" s="1657"/>
      <c r="K5" s="1658"/>
      <c r="L5" s="680"/>
    </row>
    <row r="6" spans="1:12" ht="21" customHeight="1" x14ac:dyDescent="0.25">
      <c r="A6" s="1659"/>
      <c r="B6" s="1660"/>
      <c r="C6" s="1660"/>
      <c r="D6" s="1660"/>
      <c r="E6" s="1660"/>
      <c r="F6" s="1660"/>
      <c r="G6" s="1660"/>
      <c r="H6" s="1660"/>
      <c r="I6" s="1660"/>
      <c r="J6" s="1660"/>
      <c r="K6" s="1661"/>
    </row>
    <row r="7" spans="1:12" ht="21" customHeight="1" x14ac:dyDescent="0.25">
      <c r="A7" s="1662"/>
      <c r="B7" s="1663"/>
      <c r="C7" s="1663"/>
      <c r="D7" s="1663"/>
      <c r="E7" s="1663"/>
      <c r="F7" s="1663"/>
      <c r="G7" s="1663"/>
      <c r="H7" s="1663"/>
      <c r="I7" s="1663"/>
      <c r="J7" s="1663"/>
      <c r="K7" s="1664"/>
      <c r="L7" s="679"/>
    </row>
    <row r="8" spans="1:12" ht="12" customHeight="1" x14ac:dyDescent="0.25">
      <c r="A8" s="45"/>
      <c r="B8" s="46"/>
      <c r="C8" s="46"/>
      <c r="D8" s="46"/>
      <c r="E8" s="46"/>
      <c r="F8" s="45"/>
      <c r="G8" s="45"/>
      <c r="H8" s="45"/>
      <c r="I8" s="45"/>
      <c r="J8" s="45"/>
      <c r="K8" s="45"/>
    </row>
    <row r="9" spans="1:12" ht="18" customHeight="1" x14ac:dyDescent="0.25">
      <c r="A9" s="2431" t="s">
        <v>82</v>
      </c>
      <c r="B9" s="2431"/>
      <c r="C9" s="2431"/>
      <c r="D9" s="2431"/>
      <c r="E9" s="2431"/>
      <c r="F9" s="2431"/>
      <c r="G9" s="2431"/>
      <c r="H9" s="2431"/>
      <c r="I9" s="2431"/>
      <c r="J9" s="2431"/>
      <c r="K9" s="2431"/>
    </row>
    <row r="10" spans="1:12" x14ac:dyDescent="0.25">
      <c r="A10" s="45"/>
      <c r="B10" s="46"/>
      <c r="C10" s="46"/>
      <c r="D10" s="46"/>
      <c r="E10" s="46"/>
      <c r="F10" s="45"/>
      <c r="G10" s="45"/>
      <c r="H10" s="45"/>
      <c r="I10" s="45"/>
      <c r="J10" s="45"/>
      <c r="K10" s="45"/>
    </row>
    <row r="11" spans="1:12" ht="21" customHeight="1" x14ac:dyDescent="0.25">
      <c r="A11" s="45"/>
      <c r="B11" s="2435" t="s">
        <v>83</v>
      </c>
      <c r="C11" s="2436"/>
      <c r="D11" s="2436"/>
      <c r="E11" s="2436"/>
      <c r="F11" s="444" t="s">
        <v>64</v>
      </c>
      <c r="G11" s="444" t="s">
        <v>16</v>
      </c>
      <c r="H11" s="52" t="s">
        <v>133</v>
      </c>
      <c r="I11" s="45"/>
      <c r="J11" s="45"/>
      <c r="K11" s="45"/>
    </row>
    <row r="12" spans="1:12" ht="30" customHeight="1" x14ac:dyDescent="0.25">
      <c r="A12" s="45"/>
      <c r="B12" s="2113" t="s">
        <v>903</v>
      </c>
      <c r="C12" s="2114"/>
      <c r="D12" s="2114"/>
      <c r="E12" s="2115"/>
      <c r="F12" s="281">
        <v>1</v>
      </c>
      <c r="G12" s="281">
        <f>C48</f>
        <v>0</v>
      </c>
      <c r="H12" s="281" t="str">
        <f>C49</f>
        <v>No</v>
      </c>
      <c r="I12" s="45"/>
      <c r="J12" s="45"/>
      <c r="K12" s="45"/>
      <c r="L12" s="35" t="str">
        <f>IF(G12&lt;&gt;0,IF(H12="No","No","Yes"),"Yes")</f>
        <v>Yes</v>
      </c>
    </row>
    <row r="13" spans="1:12" ht="30" customHeight="1" x14ac:dyDescent="0.25">
      <c r="A13" s="45"/>
      <c r="B13" s="2113" t="s">
        <v>902</v>
      </c>
      <c r="C13" s="2114"/>
      <c r="D13" s="2114"/>
      <c r="E13" s="2115"/>
      <c r="F13" s="281">
        <v>1</v>
      </c>
      <c r="G13" s="281">
        <f>C84</f>
        <v>0</v>
      </c>
      <c r="H13" s="281" t="str">
        <f>C85</f>
        <v>No</v>
      </c>
      <c r="I13" s="45"/>
      <c r="J13" s="45"/>
      <c r="K13" s="45"/>
      <c r="L13" s="35" t="str">
        <f>IF(G13&lt;&gt;0,IF(H13="No","No","Yes"),"Yes")</f>
        <v>Yes</v>
      </c>
    </row>
    <row r="14" spans="1:12" ht="19.5" customHeight="1" x14ac:dyDescent="0.25">
      <c r="A14" s="45"/>
      <c r="B14" s="1810" t="s">
        <v>25</v>
      </c>
      <c r="C14" s="1811"/>
      <c r="D14" s="1811"/>
      <c r="E14" s="1812"/>
      <c r="F14" s="498">
        <v>2</v>
      </c>
      <c r="G14" s="498">
        <f>MIN(2,SUM(G12:G13))</f>
        <v>0</v>
      </c>
      <c r="H14" s="498" t="str">
        <f>IF(COUNTIF(H12:H13,"No")=2,"No",IF(COUNTIF(L12:L13,"Yes")=2,"Yes","No"))</f>
        <v>No</v>
      </c>
      <c r="I14" s="45"/>
      <c r="J14" s="45"/>
      <c r="K14" s="45"/>
    </row>
    <row r="15" spans="1:12" x14ac:dyDescent="0.25">
      <c r="A15" s="45"/>
      <c r="B15" s="46"/>
      <c r="C15" s="46"/>
      <c r="D15" s="46"/>
      <c r="E15" s="46"/>
      <c r="F15" s="45"/>
      <c r="G15" s="45"/>
      <c r="H15" s="45"/>
      <c r="I15" s="45"/>
      <c r="J15" s="45"/>
      <c r="K15" s="45"/>
    </row>
    <row r="16" spans="1:12" x14ac:dyDescent="0.25">
      <c r="A16" s="45"/>
      <c r="B16" s="2469" t="s">
        <v>2327</v>
      </c>
      <c r="C16" s="2469"/>
      <c r="D16" s="2469"/>
      <c r="E16" s="2469"/>
      <c r="F16" s="2469"/>
      <c r="G16" s="2469"/>
      <c r="H16" s="2469"/>
      <c r="I16" s="2469"/>
      <c r="J16" s="45"/>
      <c r="K16" s="45"/>
    </row>
    <row r="17" spans="1:13" x14ac:dyDescent="0.25">
      <c r="A17" s="45"/>
      <c r="B17" s="2469"/>
      <c r="C17" s="2469"/>
      <c r="D17" s="2469"/>
      <c r="E17" s="2469"/>
      <c r="F17" s="2469"/>
      <c r="G17" s="2469"/>
      <c r="H17" s="2469"/>
      <c r="I17" s="2469"/>
      <c r="J17" s="45"/>
      <c r="K17" s="45"/>
    </row>
    <row r="18" spans="1:13" x14ac:dyDescent="0.25">
      <c r="A18" s="45"/>
      <c r="B18" s="46"/>
      <c r="C18" s="46"/>
      <c r="D18" s="46"/>
      <c r="E18" s="46"/>
      <c r="F18" s="45"/>
      <c r="G18" s="45"/>
      <c r="H18" s="45"/>
      <c r="I18" s="45"/>
      <c r="J18" s="45"/>
      <c r="K18" s="45"/>
    </row>
    <row r="19" spans="1:13" ht="18" customHeight="1" x14ac:dyDescent="0.25">
      <c r="A19" s="2431" t="s">
        <v>904</v>
      </c>
      <c r="B19" s="2431"/>
      <c r="C19" s="2431"/>
      <c r="D19" s="2431"/>
      <c r="E19" s="2431"/>
      <c r="F19" s="2431"/>
      <c r="G19" s="2431"/>
      <c r="H19" s="2431"/>
      <c r="I19" s="2431"/>
      <c r="J19" s="2431"/>
      <c r="K19" s="2431"/>
    </row>
    <row r="20" spans="1:13" x14ac:dyDescent="0.25">
      <c r="A20" s="45"/>
      <c r="B20" s="46"/>
      <c r="C20" s="46"/>
      <c r="D20" s="46"/>
      <c r="E20" s="46"/>
      <c r="F20" s="45"/>
      <c r="G20" s="45"/>
      <c r="H20" s="45"/>
      <c r="I20" s="45"/>
      <c r="J20" s="45"/>
      <c r="K20" s="45"/>
    </row>
    <row r="21" spans="1:13" ht="16.5" customHeight="1" x14ac:dyDescent="0.25">
      <c r="A21" s="2468" t="s">
        <v>102</v>
      </c>
      <c r="B21" s="2468"/>
      <c r="C21" s="2468"/>
      <c r="D21" s="46"/>
      <c r="E21" s="46"/>
      <c r="F21" s="45"/>
      <c r="G21" s="45"/>
      <c r="H21" s="45"/>
      <c r="I21" s="45"/>
      <c r="J21" s="45"/>
      <c r="K21" s="45"/>
    </row>
    <row r="22" spans="1:13" ht="12" customHeight="1" x14ac:dyDescent="0.25">
      <c r="A22" s="45"/>
      <c r="B22" s="46"/>
      <c r="C22" s="46"/>
      <c r="D22" s="46"/>
      <c r="E22" s="46"/>
      <c r="F22" s="45"/>
      <c r="G22" s="45"/>
      <c r="H22" s="45"/>
      <c r="I22" s="45"/>
      <c r="J22" s="45"/>
      <c r="K22" s="45"/>
    </row>
    <row r="23" spans="1:13" x14ac:dyDescent="0.25">
      <c r="A23" s="45"/>
      <c r="B23" s="510" t="s">
        <v>721</v>
      </c>
      <c r="C23" s="46"/>
      <c r="D23" s="46"/>
      <c r="E23" s="46"/>
      <c r="F23" s="45"/>
      <c r="G23" s="45"/>
      <c r="H23" s="45"/>
      <c r="I23" s="45"/>
      <c r="J23" s="45"/>
      <c r="K23" s="45"/>
    </row>
    <row r="24" spans="1:13" x14ac:dyDescent="0.25">
      <c r="A24" s="45"/>
      <c r="B24" s="509"/>
      <c r="C24" s="46"/>
      <c r="D24" s="46"/>
      <c r="E24" s="46"/>
      <c r="F24" s="45"/>
      <c r="G24" s="45"/>
      <c r="H24" s="45"/>
      <c r="I24" s="45"/>
      <c r="J24" s="45"/>
      <c r="K24" s="45"/>
    </row>
    <row r="25" spans="1:13" x14ac:dyDescent="0.25">
      <c r="A25" s="45"/>
      <c r="B25" s="46" t="s">
        <v>151</v>
      </c>
      <c r="C25" s="46"/>
      <c r="D25" s="46"/>
      <c r="E25" s="46"/>
      <c r="F25" s="45"/>
      <c r="G25" s="45"/>
      <c r="H25" s="45"/>
      <c r="I25" s="45"/>
      <c r="J25" s="45"/>
      <c r="K25" s="45"/>
    </row>
    <row r="26" spans="1:13" x14ac:dyDescent="0.25">
      <c r="A26" s="45"/>
      <c r="B26" s="46"/>
      <c r="C26" s="46"/>
      <c r="D26" s="46"/>
      <c r="E26" s="46"/>
      <c r="F26" s="45"/>
      <c r="G26" s="45"/>
      <c r="H26" s="45"/>
      <c r="I26" s="45"/>
      <c r="J26" s="45"/>
      <c r="K26" s="45"/>
    </row>
    <row r="27" spans="1:13" x14ac:dyDescent="0.25">
      <c r="A27" s="45"/>
      <c r="B27" s="535" t="s">
        <v>988</v>
      </c>
      <c r="C27" s="46"/>
      <c r="D27" s="46"/>
      <c r="E27" s="46"/>
      <c r="F27" s="45"/>
      <c r="G27" s="45"/>
      <c r="H27" s="45"/>
      <c r="I27" s="45"/>
      <c r="J27" s="45"/>
      <c r="K27" s="45"/>
    </row>
    <row r="28" spans="1:13" ht="12" customHeight="1" x14ac:dyDescent="0.25">
      <c r="A28" s="45"/>
      <c r="B28" s="46"/>
      <c r="C28" s="46"/>
      <c r="D28" s="46"/>
      <c r="E28" s="46"/>
      <c r="F28" s="45"/>
      <c r="G28" s="45"/>
      <c r="H28" s="45"/>
      <c r="I28" s="45"/>
      <c r="J28" s="45"/>
      <c r="K28" s="45"/>
    </row>
    <row r="29" spans="1:13" ht="18" customHeight="1" x14ac:dyDescent="0.25">
      <c r="A29" s="45"/>
      <c r="B29" s="2069" t="str">
        <f>IF('Project information'!C7="Certification stage","• Has an Operation &amp; Maintenance Manual been provided?","• Will an Operation &amp; Maintenance Manual be provided?")</f>
        <v>• Has an Operation &amp; Maintenance Manual been provided?</v>
      </c>
      <c r="C29" s="2069"/>
      <c r="D29" s="2069"/>
      <c r="E29" s="2069"/>
      <c r="F29" s="602" t="s">
        <v>53</v>
      </c>
      <c r="G29" s="45"/>
      <c r="H29" s="45"/>
      <c r="I29" s="45"/>
      <c r="J29" s="45"/>
      <c r="K29" s="45"/>
      <c r="L29" s="53"/>
      <c r="M29" s="53"/>
    </row>
    <row r="30" spans="1:13" ht="16.5" customHeight="1" x14ac:dyDescent="0.25">
      <c r="A30" s="45"/>
      <c r="B30" s="45"/>
      <c r="C30" s="45"/>
      <c r="D30" s="45"/>
      <c r="E30" s="45"/>
      <c r="F30" s="45"/>
      <c r="G30" s="45"/>
      <c r="H30" s="45"/>
      <c r="I30" s="45"/>
      <c r="J30" s="45"/>
      <c r="K30" s="45"/>
      <c r="L30" s="53"/>
      <c r="M30" s="53"/>
    </row>
    <row r="31" spans="1:13" ht="18" customHeight="1" x14ac:dyDescent="0.25">
      <c r="A31" s="45"/>
      <c r="B31" s="2419" t="str">
        <f>IF('Project information'!C7="Certification stage","Does the Operation &amp; Maintenance Manual include the following?","Will the Operation &amp; Maintenance Manual include the following?")</f>
        <v>Does the Operation &amp; Maintenance Manual include the following?</v>
      </c>
      <c r="C31" s="2420"/>
      <c r="D31" s="2420"/>
      <c r="E31" s="2420"/>
      <c r="F31" s="2420"/>
      <c r="G31" s="45"/>
      <c r="H31" s="45"/>
      <c r="I31" s="45"/>
      <c r="J31" s="45"/>
      <c r="K31" s="45"/>
      <c r="L31" s="53"/>
      <c r="M31" s="53"/>
    </row>
    <row r="32" spans="1:13" ht="18.75" customHeight="1" x14ac:dyDescent="0.25">
      <c r="A32" s="45"/>
      <c r="B32" s="1726" t="s">
        <v>2328</v>
      </c>
      <c r="C32" s="1726"/>
      <c r="D32" s="1726"/>
      <c r="E32" s="1726"/>
      <c r="F32" s="1221" t="s">
        <v>53</v>
      </c>
      <c r="G32" s="45"/>
      <c r="H32" s="45"/>
      <c r="I32" s="45"/>
      <c r="J32" s="45"/>
      <c r="K32" s="45"/>
      <c r="L32" s="53"/>
      <c r="M32" s="53"/>
    </row>
    <row r="33" spans="1:13" ht="18" customHeight="1" x14ac:dyDescent="0.25">
      <c r="A33" s="45"/>
      <c r="B33" s="1726" t="s">
        <v>898</v>
      </c>
      <c r="C33" s="1726"/>
      <c r="D33" s="1726"/>
      <c r="E33" s="1726"/>
      <c r="F33" s="661" t="s">
        <v>53</v>
      </c>
      <c r="G33" s="45"/>
      <c r="H33" s="45"/>
      <c r="I33" s="45"/>
      <c r="J33" s="45"/>
      <c r="K33" s="45"/>
      <c r="L33" s="53"/>
      <c r="M33" s="53"/>
    </row>
    <row r="34" spans="1:13" ht="28.5" customHeight="1" x14ac:dyDescent="0.25">
      <c r="A34" s="45"/>
      <c r="B34" s="1726" t="s">
        <v>1030</v>
      </c>
      <c r="C34" s="1726"/>
      <c r="D34" s="1726"/>
      <c r="E34" s="1726"/>
      <c r="F34" s="661" t="s">
        <v>53</v>
      </c>
      <c r="G34" s="45"/>
      <c r="H34" s="45"/>
      <c r="I34" s="45"/>
      <c r="J34" s="45"/>
      <c r="K34" s="45"/>
      <c r="L34" s="53"/>
      <c r="M34" s="53"/>
    </row>
    <row r="35" spans="1:13" ht="18" customHeight="1" x14ac:dyDescent="0.25">
      <c r="A35" s="45"/>
      <c r="B35" s="1726" t="s">
        <v>899</v>
      </c>
      <c r="C35" s="1726"/>
      <c r="D35" s="1726"/>
      <c r="E35" s="1726"/>
      <c r="F35" s="661" t="s">
        <v>53</v>
      </c>
      <c r="G35" s="45"/>
      <c r="H35" s="45"/>
      <c r="I35" s="45"/>
      <c r="J35" s="45"/>
      <c r="K35" s="45"/>
      <c r="L35" s="53"/>
      <c r="M35" s="53"/>
    </row>
    <row r="36" spans="1:13" ht="18" customHeight="1" x14ac:dyDescent="0.25">
      <c r="A36" s="45"/>
      <c r="B36" s="1726" t="s">
        <v>900</v>
      </c>
      <c r="C36" s="1726"/>
      <c r="D36" s="1726"/>
      <c r="E36" s="1726"/>
      <c r="F36" s="661" t="s">
        <v>53</v>
      </c>
      <c r="G36" s="45"/>
      <c r="H36" s="45"/>
      <c r="I36" s="45"/>
      <c r="J36" s="45"/>
      <c r="K36" s="45"/>
      <c r="L36" s="53"/>
      <c r="M36" s="53"/>
    </row>
    <row r="37" spans="1:13" ht="18" customHeight="1" x14ac:dyDescent="0.25">
      <c r="A37" s="45"/>
      <c r="B37" s="1726" t="s">
        <v>901</v>
      </c>
      <c r="C37" s="1726"/>
      <c r="D37" s="1726"/>
      <c r="E37" s="1726"/>
      <c r="F37" s="661" t="s">
        <v>53</v>
      </c>
      <c r="G37" s="45"/>
      <c r="H37" s="45"/>
      <c r="I37" s="45"/>
      <c r="J37" s="45"/>
      <c r="K37" s="45"/>
      <c r="L37" s="53"/>
      <c r="M37" s="53"/>
    </row>
    <row r="38" spans="1:13" ht="16.5" customHeight="1" x14ac:dyDescent="0.25">
      <c r="A38" s="45"/>
      <c r="B38" s="46"/>
      <c r="C38" s="46"/>
      <c r="D38" s="46"/>
      <c r="E38" s="46"/>
      <c r="F38" s="45"/>
      <c r="G38" s="45"/>
      <c r="H38" s="45"/>
      <c r="I38" s="45"/>
      <c r="J38" s="45"/>
      <c r="K38" s="45"/>
    </row>
    <row r="39" spans="1:13" ht="18" customHeight="1" x14ac:dyDescent="0.25">
      <c r="A39" s="45"/>
      <c r="B39" s="2439" t="s">
        <v>990</v>
      </c>
      <c r="C39" s="2439"/>
      <c r="D39" s="2439"/>
      <c r="E39" s="144" t="str">
        <f>IF(F29="Yes",IF(AND(F32="Yes",F33="Yes",F34="Yes",F35="Yes",F37="Yes",OR(F36="Yes",F36="N/A")),"Yes","No"),"No")</f>
        <v>No</v>
      </c>
      <c r="F39" s="45"/>
      <c r="G39" s="45"/>
      <c r="H39" s="45"/>
      <c r="I39" s="45"/>
      <c r="J39" s="45"/>
      <c r="K39" s="45"/>
    </row>
    <row r="40" spans="1:13" ht="18.75" customHeight="1" x14ac:dyDescent="0.25">
      <c r="A40" s="45"/>
      <c r="B40" s="46"/>
      <c r="C40" s="46"/>
      <c r="D40" s="46"/>
      <c r="E40" s="45"/>
      <c r="F40" s="45"/>
      <c r="G40" s="45"/>
      <c r="H40" s="45"/>
      <c r="I40" s="45"/>
      <c r="J40" s="45"/>
      <c r="K40" s="45"/>
    </row>
    <row r="41" spans="1:13" ht="16.5" customHeight="1" x14ac:dyDescent="0.25">
      <c r="A41" s="2429" t="s">
        <v>84</v>
      </c>
      <c r="B41" s="2429"/>
      <c r="C41" s="2429"/>
      <c r="D41" s="46"/>
      <c r="E41" s="46"/>
      <c r="F41" s="46"/>
      <c r="G41" s="46"/>
      <c r="H41" s="46"/>
      <c r="I41" s="46"/>
      <c r="J41" s="46"/>
      <c r="K41" s="46"/>
    </row>
    <row r="42" spans="1:13" x14ac:dyDescent="0.25">
      <c r="A42" s="45"/>
      <c r="B42" s="46"/>
      <c r="C42" s="46"/>
      <c r="D42" s="46"/>
      <c r="E42" s="45"/>
      <c r="F42" s="45"/>
      <c r="G42" s="45"/>
      <c r="H42" s="45"/>
      <c r="I42" s="45"/>
      <c r="J42" s="45"/>
      <c r="K42" s="45"/>
    </row>
    <row r="43" spans="1:13" ht="21" customHeight="1" x14ac:dyDescent="0.25">
      <c r="A43" s="45"/>
      <c r="B43" s="2419" t="s">
        <v>85</v>
      </c>
      <c r="C43" s="2420"/>
      <c r="D43" s="2420"/>
      <c r="E43" s="2420"/>
      <c r="F43" s="2420"/>
      <c r="G43" s="660" t="s">
        <v>907</v>
      </c>
      <c r="H43" s="2441" t="s">
        <v>908</v>
      </c>
      <c r="I43" s="2442"/>
      <c r="J43" s="45"/>
      <c r="K43" s="45"/>
    </row>
    <row r="44" spans="1:13" ht="27" customHeight="1" x14ac:dyDescent="0.25">
      <c r="A44" s="45"/>
      <c r="B44" s="1648" t="str">
        <f>Submittals!G150</f>
        <v>• Copy of the operation and maintenance manual (scans, photographs or electronic version)</v>
      </c>
      <c r="C44" s="1649"/>
      <c r="D44" s="1649"/>
      <c r="E44" s="1649"/>
      <c r="F44" s="1650"/>
      <c r="G44" s="658" t="s">
        <v>53</v>
      </c>
      <c r="H44" s="1689"/>
      <c r="I44" s="1690"/>
      <c r="J44" s="45"/>
      <c r="K44" s="45"/>
      <c r="L44" s="35" t="str">
        <f>IF(OR(B44="/",B44="No evidence required at this submission stage"),"Yes",IF(G44="Submitted","Yes","No"))</f>
        <v>No</v>
      </c>
    </row>
    <row r="45" spans="1:13" ht="18" customHeight="1" x14ac:dyDescent="0.25">
      <c r="A45" s="45"/>
      <c r="B45" s="46"/>
      <c r="C45" s="46"/>
      <c r="D45" s="46"/>
      <c r="E45" s="45"/>
      <c r="F45" s="45"/>
      <c r="G45" s="45"/>
      <c r="H45" s="45"/>
      <c r="I45" s="45"/>
      <c r="J45" s="45"/>
      <c r="K45" s="45"/>
    </row>
    <row r="46" spans="1:13" ht="16.5" customHeight="1" x14ac:dyDescent="0.25">
      <c r="A46" s="2429" t="s">
        <v>5</v>
      </c>
      <c r="B46" s="2429"/>
      <c r="C46" s="2429"/>
      <c r="D46" s="46"/>
      <c r="E46" s="46"/>
      <c r="F46" s="46"/>
      <c r="G46" s="46"/>
      <c r="H46" s="46"/>
      <c r="I46" s="46"/>
      <c r="J46" s="46"/>
      <c r="K46" s="46"/>
    </row>
    <row r="47" spans="1:13" ht="16.5" customHeight="1" x14ac:dyDescent="0.25">
      <c r="A47" s="45"/>
      <c r="B47" s="46"/>
      <c r="C47" s="46"/>
      <c r="D47" s="46"/>
      <c r="E47" s="46"/>
      <c r="F47" s="45"/>
      <c r="G47" s="45"/>
      <c r="H47" s="45"/>
      <c r="I47" s="45"/>
      <c r="J47" s="45"/>
      <c r="K47" s="45"/>
    </row>
    <row r="48" spans="1:13" ht="18" customHeight="1" x14ac:dyDescent="0.25">
      <c r="A48" s="45"/>
      <c r="B48" s="143" t="s">
        <v>16</v>
      </c>
      <c r="C48" s="8">
        <f>IF(E39="Yes",1,0)</f>
        <v>0</v>
      </c>
      <c r="D48" s="46"/>
      <c r="E48" s="45"/>
      <c r="F48" s="45"/>
      <c r="G48" s="45"/>
      <c r="H48" s="45"/>
      <c r="I48" s="45"/>
      <c r="J48" s="45"/>
      <c r="K48" s="45"/>
    </row>
    <row r="49" spans="1:11" ht="18" customHeight="1" x14ac:dyDescent="0.25">
      <c r="A49" s="45"/>
      <c r="B49" s="143" t="s">
        <v>133</v>
      </c>
      <c r="C49" s="108" t="str">
        <f>IF(AND(L44="Yes",C48&gt;0),"Yes","No")</f>
        <v>No</v>
      </c>
      <c r="D49" s="46"/>
      <c r="E49" s="46"/>
      <c r="F49" s="45"/>
      <c r="G49" s="45"/>
      <c r="H49" s="45"/>
      <c r="I49" s="45"/>
      <c r="J49" s="45"/>
      <c r="K49" s="45"/>
    </row>
    <row r="50" spans="1:11" ht="21" customHeight="1" x14ac:dyDescent="0.25">
      <c r="A50" s="45"/>
      <c r="B50" s="46"/>
      <c r="C50" s="46"/>
      <c r="D50" s="46"/>
      <c r="E50" s="46"/>
      <c r="F50" s="45"/>
      <c r="G50" s="45"/>
      <c r="H50" s="45"/>
      <c r="I50" s="45"/>
      <c r="J50" s="45"/>
      <c r="K50" s="45"/>
    </row>
    <row r="51" spans="1:11" ht="18" customHeight="1" x14ac:dyDescent="0.25">
      <c r="A51" s="2431" t="s">
        <v>905</v>
      </c>
      <c r="B51" s="2431"/>
      <c r="C51" s="2431"/>
      <c r="D51" s="2431"/>
      <c r="E51" s="2431"/>
      <c r="F51" s="2431"/>
      <c r="G51" s="2431"/>
      <c r="H51" s="2431"/>
      <c r="I51" s="2431"/>
      <c r="J51" s="2431"/>
      <c r="K51" s="2431"/>
    </row>
    <row r="52" spans="1:11" x14ac:dyDescent="0.25">
      <c r="A52" s="45"/>
      <c r="B52" s="46"/>
      <c r="C52" s="46"/>
      <c r="D52" s="46"/>
      <c r="E52" s="46"/>
      <c r="F52" s="45"/>
      <c r="G52" s="45"/>
      <c r="H52" s="45"/>
      <c r="I52" s="45"/>
      <c r="J52" s="45"/>
      <c r="K52" s="45"/>
    </row>
    <row r="53" spans="1:11" ht="16.5" customHeight="1" x14ac:dyDescent="0.25">
      <c r="A53" s="2468" t="s">
        <v>102</v>
      </c>
      <c r="B53" s="2468"/>
      <c r="C53" s="2468"/>
      <c r="D53" s="46"/>
      <c r="E53" s="46"/>
      <c r="F53" s="45"/>
      <c r="G53" s="45"/>
      <c r="H53" s="45"/>
      <c r="I53" s="45"/>
      <c r="J53" s="45"/>
      <c r="K53" s="45"/>
    </row>
    <row r="54" spans="1:11" x14ac:dyDescent="0.25">
      <c r="A54" s="45"/>
      <c r="B54" s="46"/>
      <c r="C54" s="46"/>
      <c r="D54" s="46"/>
      <c r="E54" s="46"/>
      <c r="F54" s="45"/>
      <c r="G54" s="45"/>
      <c r="H54" s="45"/>
      <c r="I54" s="45"/>
      <c r="J54" s="45"/>
      <c r="K54" s="45"/>
    </row>
    <row r="55" spans="1:11" x14ac:dyDescent="0.25">
      <c r="A55" s="45"/>
      <c r="B55" s="605" t="s">
        <v>906</v>
      </c>
      <c r="C55" s="46"/>
      <c r="D55" s="46"/>
      <c r="E55" s="46"/>
      <c r="F55" s="45"/>
      <c r="G55" s="45"/>
      <c r="H55" s="45"/>
      <c r="I55" s="45"/>
      <c r="J55" s="45"/>
      <c r="K55" s="45"/>
    </row>
    <row r="56" spans="1:11" ht="18" customHeight="1" x14ac:dyDescent="0.25">
      <c r="A56" s="45"/>
      <c r="B56" s="1226"/>
      <c r="C56" s="46"/>
      <c r="D56" s="46"/>
      <c r="E56" s="46"/>
      <c r="F56" s="45"/>
      <c r="G56" s="45"/>
      <c r="H56" s="45"/>
      <c r="I56" s="45"/>
      <c r="J56" s="45"/>
      <c r="K56" s="45"/>
    </row>
    <row r="57" spans="1:11" x14ac:dyDescent="0.25">
      <c r="A57" s="45"/>
      <c r="B57" s="535" t="s">
        <v>1025</v>
      </c>
      <c r="C57" s="46"/>
      <c r="D57" s="46"/>
      <c r="E57" s="46"/>
      <c r="F57" s="45"/>
      <c r="G57" s="45"/>
      <c r="H57" s="45"/>
      <c r="I57" s="45"/>
      <c r="J57" s="45"/>
      <c r="K57" s="45"/>
    </row>
    <row r="58" spans="1:11" ht="12" customHeight="1" x14ac:dyDescent="0.25">
      <c r="A58" s="45"/>
      <c r="B58" s="509"/>
      <c r="C58" s="46"/>
      <c r="D58" s="46"/>
      <c r="E58" s="46"/>
      <c r="F58" s="45"/>
      <c r="G58" s="45"/>
      <c r="H58" s="45"/>
      <c r="I58" s="45"/>
      <c r="J58" s="45"/>
      <c r="K58" s="45"/>
    </row>
    <row r="59" spans="1:11" ht="21.75" customHeight="1" x14ac:dyDescent="0.25">
      <c r="A59" s="45"/>
      <c r="B59" s="1726" t="str">
        <f>IF('Project information'!C7="Certification stage","• Has a preventative maintenance plan been produced?","• Will a preventative maintenance planl be produced?")</f>
        <v>• Has a preventative maintenance plan been produced?</v>
      </c>
      <c r="C59" s="1726"/>
      <c r="D59" s="1726"/>
      <c r="E59" s="1726"/>
      <c r="F59" s="652" t="s">
        <v>53</v>
      </c>
      <c r="G59" s="45"/>
      <c r="H59" s="45"/>
      <c r="I59" s="45"/>
      <c r="J59" s="45"/>
      <c r="K59" s="45"/>
    </row>
    <row r="60" spans="1:11" x14ac:dyDescent="0.25">
      <c r="A60" s="45"/>
      <c r="B60" s="509"/>
      <c r="C60" s="46"/>
      <c r="D60" s="46"/>
      <c r="E60" s="46"/>
      <c r="F60" s="45"/>
      <c r="G60" s="45"/>
      <c r="H60" s="45"/>
      <c r="I60" s="45"/>
      <c r="J60" s="45"/>
      <c r="K60" s="45"/>
    </row>
    <row r="61" spans="1:11" ht="18" customHeight="1" x14ac:dyDescent="0.25">
      <c r="A61" s="45"/>
      <c r="B61" s="2419" t="str">
        <f>IF('Project information'!C7="Certification stage","Does the preventative maintenance plan encompass the following systems?","Will the preventative maintenance plan encompass the following systems?")</f>
        <v>Does the preventative maintenance plan encompass the following systems?</v>
      </c>
      <c r="C61" s="2420"/>
      <c r="D61" s="2420"/>
      <c r="E61" s="2420"/>
      <c r="F61" s="2420"/>
      <c r="G61" s="2419" t="s">
        <v>12</v>
      </c>
      <c r="H61" s="2420"/>
      <c r="I61" s="2420"/>
      <c r="J61" s="45"/>
      <c r="K61" s="45"/>
    </row>
    <row r="62" spans="1:11" ht="19.5" customHeight="1" x14ac:dyDescent="0.25">
      <c r="A62" s="45"/>
      <c r="B62" s="1726" t="s">
        <v>1203</v>
      </c>
      <c r="C62" s="1726"/>
      <c r="D62" s="1726"/>
      <c r="E62" s="1726"/>
      <c r="F62" s="1195" t="s">
        <v>53</v>
      </c>
      <c r="G62" s="2447"/>
      <c r="H62" s="2448"/>
      <c r="I62" s="2448"/>
      <c r="J62" s="45"/>
      <c r="K62" s="45"/>
    </row>
    <row r="63" spans="1:11" ht="19.5" customHeight="1" x14ac:dyDescent="0.25">
      <c r="A63" s="45"/>
      <c r="B63" s="1726" t="s">
        <v>1204</v>
      </c>
      <c r="C63" s="1726"/>
      <c r="D63" s="1726"/>
      <c r="E63" s="1726"/>
      <c r="F63" s="1195" t="s">
        <v>53</v>
      </c>
      <c r="G63" s="2447"/>
      <c r="H63" s="2448"/>
      <c r="I63" s="2448"/>
      <c r="J63" s="45"/>
      <c r="K63" s="45"/>
    </row>
    <row r="64" spans="1:11" ht="19.5" customHeight="1" x14ac:dyDescent="0.25">
      <c r="A64" s="45"/>
      <c r="B64" s="1726" t="s">
        <v>1205</v>
      </c>
      <c r="C64" s="1726"/>
      <c r="D64" s="1726"/>
      <c r="E64" s="1726"/>
      <c r="F64" s="1195" t="s">
        <v>53</v>
      </c>
      <c r="G64" s="2447"/>
      <c r="H64" s="2448"/>
      <c r="I64" s="2448"/>
      <c r="J64" s="45"/>
      <c r="K64" s="45"/>
    </row>
    <row r="65" spans="1:12" ht="19.5" customHeight="1" x14ac:dyDescent="0.25">
      <c r="A65" s="45"/>
      <c r="B65" s="1726" t="s">
        <v>2187</v>
      </c>
      <c r="C65" s="1726"/>
      <c r="D65" s="1726"/>
      <c r="E65" s="1726"/>
      <c r="F65" s="1195" t="s">
        <v>53</v>
      </c>
      <c r="G65" s="2447"/>
      <c r="H65" s="2448"/>
      <c r="I65" s="2448"/>
      <c r="J65" s="45"/>
      <c r="K65" s="45"/>
    </row>
    <row r="66" spans="1:12" ht="19.5" customHeight="1" x14ac:dyDescent="0.25">
      <c r="A66" s="45"/>
      <c r="B66" s="1726" t="s">
        <v>1207</v>
      </c>
      <c r="C66" s="1726"/>
      <c r="D66" s="1726"/>
      <c r="E66" s="1726"/>
      <c r="F66" s="1195" t="s">
        <v>53</v>
      </c>
      <c r="G66" s="2447"/>
      <c r="H66" s="2448"/>
      <c r="I66" s="2448"/>
      <c r="J66" s="45"/>
      <c r="K66" s="45"/>
    </row>
    <row r="67" spans="1:12" ht="19.5" customHeight="1" x14ac:dyDescent="0.25">
      <c r="A67" s="45"/>
      <c r="B67" s="1726" t="s">
        <v>2188</v>
      </c>
      <c r="C67" s="1726"/>
      <c r="D67" s="1726"/>
      <c r="E67" s="1726"/>
      <c r="F67" s="1195" t="s">
        <v>53</v>
      </c>
      <c r="G67" s="2447"/>
      <c r="H67" s="2448"/>
      <c r="I67" s="2448"/>
      <c r="J67" s="45"/>
      <c r="K67" s="45"/>
    </row>
    <row r="68" spans="1:12" x14ac:dyDescent="0.25">
      <c r="A68" s="45"/>
      <c r="B68" s="509"/>
      <c r="C68" s="46"/>
      <c r="D68" s="46"/>
      <c r="E68" s="46"/>
      <c r="F68" s="45"/>
      <c r="G68" s="45"/>
      <c r="H68" s="45"/>
      <c r="I68" s="45"/>
      <c r="J68" s="45"/>
      <c r="K68" s="45"/>
    </row>
    <row r="69" spans="1:12" ht="18" customHeight="1" x14ac:dyDescent="0.25">
      <c r="A69" s="45"/>
      <c r="B69" s="2419" t="str">
        <f>IF('Project information'!C7="Certification stage","Does the preventative maintenance plan include the following?","Will the preventative maintenance plan include the following?")</f>
        <v>Does the preventative maintenance plan include the following?</v>
      </c>
      <c r="C69" s="2420"/>
      <c r="D69" s="2420"/>
      <c r="E69" s="2420"/>
      <c r="F69" s="2420"/>
      <c r="G69" s="2419" t="s">
        <v>12</v>
      </c>
      <c r="H69" s="2420"/>
      <c r="I69" s="2420"/>
      <c r="J69" s="45"/>
      <c r="K69" s="45"/>
    </row>
    <row r="70" spans="1:12" ht="18" customHeight="1" x14ac:dyDescent="0.25">
      <c r="A70" s="45"/>
      <c r="B70" s="1726" t="s">
        <v>989</v>
      </c>
      <c r="C70" s="1726"/>
      <c r="D70" s="1726"/>
      <c r="E70" s="1726"/>
      <c r="F70" s="652" t="s">
        <v>53</v>
      </c>
      <c r="G70" s="2447"/>
      <c r="H70" s="2448"/>
      <c r="I70" s="2448"/>
      <c r="J70" s="45"/>
      <c r="K70" s="45"/>
    </row>
    <row r="71" spans="1:12" ht="18" customHeight="1" x14ac:dyDescent="0.25">
      <c r="A71" s="45"/>
      <c r="B71" s="1726" t="s">
        <v>2329</v>
      </c>
      <c r="C71" s="1726"/>
      <c r="D71" s="1726"/>
      <c r="E71" s="1726"/>
      <c r="F71" s="652" t="s">
        <v>53</v>
      </c>
      <c r="G71" s="2447"/>
      <c r="H71" s="2448"/>
      <c r="I71" s="2448"/>
      <c r="J71" s="45"/>
      <c r="K71" s="45"/>
    </row>
    <row r="72" spans="1:12" ht="18" customHeight="1" x14ac:dyDescent="0.25">
      <c r="A72" s="45"/>
      <c r="B72" s="1726" t="s">
        <v>2330</v>
      </c>
      <c r="C72" s="1726"/>
      <c r="D72" s="1726"/>
      <c r="E72" s="1726"/>
      <c r="F72" s="652" t="s">
        <v>53</v>
      </c>
      <c r="G72" s="2447"/>
      <c r="H72" s="2448"/>
      <c r="I72" s="2448"/>
      <c r="J72" s="45"/>
      <c r="K72" s="45"/>
    </row>
    <row r="73" spans="1:12" ht="27" customHeight="1" x14ac:dyDescent="0.25">
      <c r="A73" s="45"/>
      <c r="B73" s="1726" t="s">
        <v>2331</v>
      </c>
      <c r="C73" s="1726"/>
      <c r="D73" s="1726"/>
      <c r="E73" s="1726"/>
      <c r="F73" s="1221" t="s">
        <v>53</v>
      </c>
      <c r="G73" s="2447"/>
      <c r="H73" s="2448"/>
      <c r="I73" s="2448"/>
      <c r="J73" s="45"/>
      <c r="K73" s="45"/>
    </row>
    <row r="74" spans="1:12" x14ac:dyDescent="0.25">
      <c r="A74" s="45"/>
      <c r="B74" s="46"/>
      <c r="C74" s="46"/>
      <c r="D74" s="46"/>
      <c r="E74" s="46"/>
      <c r="F74" s="45"/>
      <c r="G74" s="45"/>
      <c r="H74" s="45"/>
      <c r="I74" s="45"/>
      <c r="J74" s="45"/>
      <c r="K74" s="45"/>
    </row>
    <row r="75" spans="1:12" ht="18.75" customHeight="1" x14ac:dyDescent="0.25">
      <c r="A75" s="45"/>
      <c r="B75" s="2439" t="s">
        <v>1026</v>
      </c>
      <c r="C75" s="2439"/>
      <c r="D75" s="2439"/>
      <c r="E75" s="144" t="str">
        <f>IF(AND(F59="Yes",COUNTIF(F70:F73,"Yes")=4),"Yes","No")</f>
        <v>No</v>
      </c>
      <c r="F75" s="45"/>
      <c r="G75" s="45"/>
      <c r="H75" s="45"/>
      <c r="I75" s="45"/>
      <c r="J75" s="45"/>
      <c r="K75" s="45"/>
    </row>
    <row r="76" spans="1:12" ht="19.5" customHeight="1" x14ac:dyDescent="0.25">
      <c r="A76" s="45"/>
      <c r="B76" s="45"/>
      <c r="C76" s="45"/>
      <c r="D76" s="45"/>
      <c r="E76" s="45"/>
      <c r="F76" s="45"/>
      <c r="G76" s="45"/>
      <c r="H76" s="45"/>
      <c r="I76" s="45"/>
      <c r="J76" s="45"/>
      <c r="K76" s="45"/>
    </row>
    <row r="77" spans="1:12" ht="16.5" customHeight="1" x14ac:dyDescent="0.25">
      <c r="A77" s="2429" t="s">
        <v>84</v>
      </c>
      <c r="B77" s="2429"/>
      <c r="C77" s="2429"/>
      <c r="D77" s="46"/>
      <c r="E77" s="46"/>
      <c r="F77" s="46"/>
      <c r="G77" s="46"/>
      <c r="H77" s="46"/>
      <c r="I77" s="46"/>
      <c r="J77" s="46"/>
      <c r="K77" s="46"/>
    </row>
    <row r="78" spans="1:12" x14ac:dyDescent="0.25">
      <c r="A78" s="45"/>
      <c r="B78" s="46"/>
      <c r="C78" s="46"/>
      <c r="D78" s="46"/>
      <c r="E78" s="45"/>
      <c r="F78" s="45"/>
      <c r="G78" s="45"/>
      <c r="H78" s="45"/>
      <c r="I78" s="45"/>
      <c r="J78" s="45"/>
      <c r="K78" s="45"/>
    </row>
    <row r="79" spans="1:12" ht="21" customHeight="1" x14ac:dyDescent="0.25">
      <c r="A79" s="45"/>
      <c r="B79" s="2419" t="s">
        <v>85</v>
      </c>
      <c r="C79" s="2420"/>
      <c r="D79" s="2420"/>
      <c r="E79" s="2420"/>
      <c r="F79" s="2420"/>
      <c r="G79" s="660" t="s">
        <v>907</v>
      </c>
      <c r="H79" s="2441" t="s">
        <v>908</v>
      </c>
      <c r="I79" s="2442"/>
      <c r="J79" s="45"/>
      <c r="K79" s="45"/>
    </row>
    <row r="80" spans="1:12" ht="27.75" customHeight="1" x14ac:dyDescent="0.25">
      <c r="A80" s="45"/>
      <c r="B80" s="1648" t="str">
        <f>Submittals!G151</f>
        <v xml:space="preserve">• Copy of the preventative maintenance plan (scans, photographs or electronic version) </v>
      </c>
      <c r="C80" s="1649"/>
      <c r="D80" s="1649"/>
      <c r="E80" s="1649"/>
      <c r="F80" s="1650"/>
      <c r="G80" s="658" t="s">
        <v>53</v>
      </c>
      <c r="H80" s="1689"/>
      <c r="I80" s="1690"/>
      <c r="J80" s="45"/>
      <c r="K80" s="45"/>
      <c r="L80" s="35" t="str">
        <f>IF(OR(B80="/",B80="No evidence required at this submission stage"),"Yes",IF(G80="Submitted","Yes","No"))</f>
        <v>No</v>
      </c>
    </row>
    <row r="81" spans="1:11" ht="19.5" customHeight="1" x14ac:dyDescent="0.25">
      <c r="A81" s="45"/>
      <c r="B81" s="46"/>
      <c r="C81" s="46"/>
      <c r="D81" s="46"/>
      <c r="E81" s="45"/>
      <c r="F81" s="45"/>
      <c r="G81" s="45"/>
      <c r="H81" s="45"/>
      <c r="I81" s="45"/>
      <c r="J81" s="45"/>
      <c r="K81" s="45"/>
    </row>
    <row r="82" spans="1:11" ht="16.5" customHeight="1" x14ac:dyDescent="0.25">
      <c r="A82" s="2429" t="s">
        <v>5</v>
      </c>
      <c r="B82" s="2429"/>
      <c r="C82" s="2429"/>
      <c r="D82" s="46"/>
      <c r="E82" s="46"/>
      <c r="F82" s="46"/>
      <c r="G82" s="46"/>
      <c r="H82" s="46"/>
      <c r="I82" s="46"/>
      <c r="J82" s="46"/>
      <c r="K82" s="46"/>
    </row>
    <row r="83" spans="1:11" ht="16.5" customHeight="1" x14ac:dyDescent="0.25">
      <c r="A83" s="45"/>
      <c r="B83" s="46"/>
      <c r="C83" s="46"/>
      <c r="D83" s="46"/>
      <c r="E83" s="46"/>
      <c r="F83" s="45"/>
      <c r="G83" s="45"/>
      <c r="H83" s="45"/>
      <c r="I83" s="45"/>
      <c r="J83" s="45"/>
      <c r="K83" s="45"/>
    </row>
    <row r="84" spans="1:11" ht="18" customHeight="1" x14ac:dyDescent="0.25">
      <c r="A84" s="45"/>
      <c r="B84" s="143" t="s">
        <v>16</v>
      </c>
      <c r="C84" s="8">
        <f>IF(E52="Yes",1,0)</f>
        <v>0</v>
      </c>
      <c r="D84" s="46"/>
      <c r="E84" s="45"/>
      <c r="F84" s="45"/>
      <c r="G84" s="45"/>
      <c r="H84" s="45"/>
      <c r="I84" s="45"/>
      <c r="J84" s="45"/>
      <c r="K84" s="45"/>
    </row>
    <row r="85" spans="1:11" ht="18" customHeight="1" x14ac:dyDescent="0.25">
      <c r="A85" s="45"/>
      <c r="B85" s="143" t="s">
        <v>133</v>
      </c>
      <c r="C85" s="108" t="str">
        <f>IF(AND(L80="Yes",C84&gt;0),"Yes","No")</f>
        <v>No</v>
      </c>
      <c r="D85" s="46"/>
      <c r="E85" s="46"/>
      <c r="F85" s="45"/>
      <c r="G85" s="45"/>
      <c r="H85" s="45"/>
      <c r="I85" s="45"/>
      <c r="J85" s="45"/>
      <c r="K85" s="45"/>
    </row>
    <row r="86" spans="1:11" ht="21" customHeight="1" x14ac:dyDescent="0.25">
      <c r="A86" s="45"/>
      <c r="B86" s="46"/>
      <c r="C86" s="46"/>
      <c r="D86" s="46"/>
      <c r="E86" s="46"/>
      <c r="F86" s="45"/>
      <c r="G86" s="45"/>
      <c r="H86" s="45"/>
      <c r="I86" s="45"/>
      <c r="J86" s="45"/>
      <c r="K86" s="45"/>
    </row>
    <row r="87" spans="1:11" hidden="1" x14ac:dyDescent="0.25">
      <c r="J87" s="45"/>
      <c r="K87" s="45"/>
    </row>
    <row r="88" spans="1:11" ht="15" hidden="1" customHeight="1" x14ac:dyDescent="0.25"/>
    <row r="89" spans="1:11" ht="15" hidden="1" customHeight="1" x14ac:dyDescent="0.25"/>
    <row r="90" spans="1:11" ht="15" hidden="1" customHeight="1" x14ac:dyDescent="0.25"/>
    <row r="91" spans="1:11" ht="15" hidden="1" customHeight="1" x14ac:dyDescent="0.25"/>
    <row r="92" spans="1:11" ht="15" hidden="1" customHeight="1" x14ac:dyDescent="0.25"/>
    <row r="93" spans="1:11" ht="15" hidden="1" customHeight="1" x14ac:dyDescent="0.25"/>
    <row r="94" spans="1:11" ht="15" hidden="1" customHeight="1" x14ac:dyDescent="0.25"/>
    <row r="95" spans="1:11" ht="15" hidden="1" customHeight="1" x14ac:dyDescent="0.25"/>
    <row r="96" spans="1:11"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algorithmName="SHA-512" hashValue="htDxXa0ATanRhVhJ5yV+7LBeo2NLSOcZV7l0Le9sSoMroO+FK/l5NKXaSSN3xGXYgnEvRV6sg20z+qH4q7kiWw==" saltValue="fUM/fSI2x56bvKMiuiiATw==" spinCount="100000" sheet="1" objects="1" scenarios="1" formatRows="0"/>
  <mergeCells count="60">
    <mergeCell ref="B16:I17"/>
    <mergeCell ref="B32:E32"/>
    <mergeCell ref="B73:E73"/>
    <mergeCell ref="G73:I73"/>
    <mergeCell ref="B12:E12"/>
    <mergeCell ref="B29:E29"/>
    <mergeCell ref="B33:E33"/>
    <mergeCell ref="A19:K19"/>
    <mergeCell ref="B61:F61"/>
    <mergeCell ref="G61:I61"/>
    <mergeCell ref="B67:E67"/>
    <mergeCell ref="G67:I67"/>
    <mergeCell ref="A9:K9"/>
    <mergeCell ref="B13:E13"/>
    <mergeCell ref="B14:E14"/>
    <mergeCell ref="A21:C21"/>
    <mergeCell ref="A82:C82"/>
    <mergeCell ref="A53:C53"/>
    <mergeCell ref="H80:I80"/>
    <mergeCell ref="B69:F69"/>
    <mergeCell ref="B70:E70"/>
    <mergeCell ref="B71:E71"/>
    <mergeCell ref="B72:E72"/>
    <mergeCell ref="B75:D75"/>
    <mergeCell ref="B43:F43"/>
    <mergeCell ref="H43:I43"/>
    <mergeCell ref="H44:I44"/>
    <mergeCell ref="B79:F79"/>
    <mergeCell ref="A1:K1"/>
    <mergeCell ref="A51:K51"/>
    <mergeCell ref="A41:C41"/>
    <mergeCell ref="A46:C46"/>
    <mergeCell ref="A77:C77"/>
    <mergeCell ref="B39:D39"/>
    <mergeCell ref="B44:F44"/>
    <mergeCell ref="H2:I4"/>
    <mergeCell ref="B34:E34"/>
    <mergeCell ref="B35:E35"/>
    <mergeCell ref="B36:E36"/>
    <mergeCell ref="B37:E37"/>
    <mergeCell ref="A5:K7"/>
    <mergeCell ref="B11:E11"/>
    <mergeCell ref="B31:F31"/>
    <mergeCell ref="B59:E59"/>
    <mergeCell ref="H79:I79"/>
    <mergeCell ref="B80:F80"/>
    <mergeCell ref="B62:E62"/>
    <mergeCell ref="B63:E63"/>
    <mergeCell ref="B64:E64"/>
    <mergeCell ref="G62:I62"/>
    <mergeCell ref="G63:I63"/>
    <mergeCell ref="G64:I64"/>
    <mergeCell ref="G69:I69"/>
    <mergeCell ref="G70:I70"/>
    <mergeCell ref="G71:I71"/>
    <mergeCell ref="G72:I72"/>
    <mergeCell ref="B65:E65"/>
    <mergeCell ref="G65:I65"/>
    <mergeCell ref="B66:E66"/>
    <mergeCell ref="G66:I66"/>
  </mergeCells>
  <conditionalFormatting sqref="G44:H44">
    <cfRule type="expression" dxfId="49" priority="17">
      <formula>$B44="No evidence required at this submission stage"</formula>
    </cfRule>
    <cfRule type="expression" dxfId="48" priority="18">
      <formula>$B44="/"</formula>
    </cfRule>
  </conditionalFormatting>
  <conditionalFormatting sqref="G80:H80">
    <cfRule type="expression" dxfId="47" priority="15">
      <formula>$B80="No evidence required at this submission stage"</formula>
    </cfRule>
    <cfRule type="expression" dxfId="46" priority="16">
      <formula>$B80="/"</formula>
    </cfRule>
  </conditionalFormatting>
  <conditionalFormatting sqref="G62">
    <cfRule type="expression" dxfId="45" priority="13">
      <formula>$B62="No evidence required at this submission stage"</formula>
    </cfRule>
    <cfRule type="expression" dxfId="44" priority="14">
      <formula>$B62="/"</formula>
    </cfRule>
  </conditionalFormatting>
  <conditionalFormatting sqref="G63:G64">
    <cfRule type="expression" dxfId="43" priority="11">
      <formula>$B63="No evidence required at this submission stage"</formula>
    </cfRule>
    <cfRule type="expression" dxfId="42" priority="12">
      <formula>$B63="/"</formula>
    </cfRule>
  </conditionalFormatting>
  <conditionalFormatting sqref="G70">
    <cfRule type="expression" dxfId="41" priority="9">
      <formula>$B70="No evidence required at this submission stage"</formula>
    </cfRule>
    <cfRule type="expression" dxfId="40" priority="10">
      <formula>$B70="/"</formula>
    </cfRule>
  </conditionalFormatting>
  <conditionalFormatting sqref="G71:G72">
    <cfRule type="expression" dxfId="39" priority="7">
      <formula>$B71="No evidence required at this submission stage"</formula>
    </cfRule>
    <cfRule type="expression" dxfId="38" priority="8">
      <formula>$B71="/"</formula>
    </cfRule>
  </conditionalFormatting>
  <conditionalFormatting sqref="G65">
    <cfRule type="expression" dxfId="37" priority="5">
      <formula>$B65="No evidence required at this submission stage"</formula>
    </cfRule>
    <cfRule type="expression" dxfId="36" priority="6">
      <formula>$B65="/"</formula>
    </cfRule>
  </conditionalFormatting>
  <conditionalFormatting sqref="G66:G67">
    <cfRule type="expression" dxfId="35" priority="3">
      <formula>$B66="No evidence required at this submission stage"</formula>
    </cfRule>
    <cfRule type="expression" dxfId="34" priority="4">
      <formula>$B66="/"</formula>
    </cfRule>
  </conditionalFormatting>
  <conditionalFormatting sqref="G73">
    <cfRule type="expression" dxfId="33" priority="1">
      <formula>$B73="No evidence required at this submission stage"</formula>
    </cfRule>
    <cfRule type="expression" dxfId="32" priority="2">
      <formula>$B73="/"</formula>
    </cfRule>
  </conditionalFormatting>
  <dataValidations count="3">
    <dataValidation type="list" allowBlank="1" showInputMessage="1" showErrorMessage="1" sqref="G44 G80" xr:uid="{00000000-0002-0000-3000-000000000000}">
      <formula1>"Select,Submitted,Not submitted"</formula1>
    </dataValidation>
    <dataValidation type="list" allowBlank="1" showInputMessage="1" showErrorMessage="1" sqref="F29 F37 F59 F32:F35 F70:F73" xr:uid="{00000000-0002-0000-3000-000001000000}">
      <formula1>"Select,Yes,No"</formula1>
    </dataValidation>
    <dataValidation type="list" allowBlank="1" showInputMessage="1" showErrorMessage="1" sqref="F36 F62:F67" xr:uid="{00000000-0002-0000-3000-000002000000}">
      <formula1>"Select,Yes,No,N/A"</formula1>
    </dataValidation>
  </dataValidations>
  <hyperlinks>
    <hyperlink ref="K3" location="'Man BPC'!B3" tooltip="Man-BPC" display="Man-BPC" xr:uid="{00000000-0004-0000-3000-000000000000}"/>
    <hyperlink ref="J3" location="'Man-2 Commissioning'!B3" tooltip="Man-2" display="Man-2" xr:uid="{00000000-0004-0000-3000-000001000000}"/>
    <hyperlink ref="J2" location="'Man-1 Construction Stage'!B3" tooltip="Man-1" display="Man-1" xr:uid="{00000000-0004-0000-3000-000002000000}"/>
    <hyperlink ref="J4" location="'Man-4 Green Awareness '!B3" tooltip="Man-4" display="Man-4" xr:uid="{00000000-0004-0000-3000-000003000000}"/>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984806"/>
  </sheetPr>
  <dimension ref="A1:M132"/>
  <sheetViews>
    <sheetView showRowColHeaders="0" workbookViewId="0">
      <pane ySplit="8" topLeftCell="A9" activePane="bottomLeft" state="frozen"/>
      <selection activeCell="B19" sqref="B19:E19"/>
      <selection pane="bottomLeft" activeCell="A5" sqref="A5:K7"/>
    </sheetView>
  </sheetViews>
  <sheetFormatPr defaultColWidth="0" defaultRowHeight="15" customHeight="1" zeroHeight="1" x14ac:dyDescent="0.25"/>
  <cols>
    <col min="1" max="1" width="5.7109375" style="35" customWidth="1"/>
    <col min="2" max="2" width="18.42578125" style="35" customWidth="1"/>
    <col min="3" max="3" width="17" style="35" customWidth="1"/>
    <col min="4" max="6" width="18.42578125" style="35" customWidth="1"/>
    <col min="7" max="7" width="18.28515625" style="35" customWidth="1"/>
    <col min="8" max="8" width="21.7109375" style="35" customWidth="1"/>
    <col min="9" max="9" width="19.42578125" style="35" customWidth="1"/>
    <col min="10" max="11" width="9.7109375" style="35" customWidth="1"/>
    <col min="12" max="16384" width="9.140625" style="35" hidden="1"/>
  </cols>
  <sheetData>
    <row r="1" spans="1:12" ht="25.5" customHeight="1" x14ac:dyDescent="0.25">
      <c r="A1" s="1372" t="s">
        <v>1740</v>
      </c>
      <c r="B1" s="1372"/>
      <c r="C1" s="1372"/>
      <c r="D1" s="1372"/>
      <c r="E1" s="1372"/>
      <c r="F1" s="1372"/>
      <c r="G1" s="1372"/>
      <c r="H1" s="1372"/>
      <c r="I1" s="1372"/>
      <c r="J1" s="1372"/>
      <c r="K1" s="1372"/>
    </row>
    <row r="2" spans="1:12" ht="15" customHeight="1" x14ac:dyDescent="0.25">
      <c r="A2" s="45"/>
      <c r="B2" s="46"/>
      <c r="C2" s="46"/>
      <c r="D2" s="46"/>
      <c r="E2" s="46"/>
      <c r="F2" s="45"/>
      <c r="G2" s="45"/>
      <c r="H2" s="1753" t="s">
        <v>1285</v>
      </c>
      <c r="I2" s="1753"/>
      <c r="J2" s="622" t="s">
        <v>258</v>
      </c>
      <c r="K2" s="622"/>
    </row>
    <row r="3" spans="1:12" ht="15" customHeight="1" x14ac:dyDescent="0.25">
      <c r="A3" s="45"/>
      <c r="B3" s="46"/>
      <c r="C3" s="46"/>
      <c r="D3" s="46"/>
      <c r="E3" s="46"/>
      <c r="F3" s="45"/>
      <c r="G3" s="45"/>
      <c r="H3" s="1753"/>
      <c r="I3" s="1753"/>
      <c r="J3" s="622" t="s">
        <v>259</v>
      </c>
      <c r="K3" s="622" t="s">
        <v>1741</v>
      </c>
    </row>
    <row r="4" spans="1:12" ht="15" customHeight="1" x14ac:dyDescent="0.25">
      <c r="A4" s="45"/>
      <c r="B4" s="46"/>
      <c r="C4" s="46"/>
      <c r="D4" s="46"/>
      <c r="E4" s="46"/>
      <c r="F4" s="45"/>
      <c r="G4" s="45"/>
      <c r="H4" s="1754"/>
      <c r="I4" s="1754"/>
      <c r="J4" s="622" t="s">
        <v>260</v>
      </c>
      <c r="K4" s="622"/>
    </row>
    <row r="5" spans="1:12" ht="21" customHeight="1" x14ac:dyDescent="0.25">
      <c r="A5" s="1656" t="s">
        <v>2649</v>
      </c>
      <c r="B5" s="1657"/>
      <c r="C5" s="1657"/>
      <c r="D5" s="1657"/>
      <c r="E5" s="1657"/>
      <c r="F5" s="1657"/>
      <c r="G5" s="1657"/>
      <c r="H5" s="1657"/>
      <c r="I5" s="1657"/>
      <c r="J5" s="1657"/>
      <c r="K5" s="1658"/>
    </row>
    <row r="6" spans="1:12" ht="21" customHeight="1" x14ac:dyDescent="0.25">
      <c r="A6" s="1659"/>
      <c r="B6" s="1660"/>
      <c r="C6" s="1660"/>
      <c r="D6" s="1660"/>
      <c r="E6" s="1660"/>
      <c r="F6" s="1660"/>
      <c r="G6" s="1660"/>
      <c r="H6" s="1660"/>
      <c r="I6" s="1660"/>
      <c r="J6" s="1660"/>
      <c r="K6" s="1661"/>
    </row>
    <row r="7" spans="1:12" ht="21" customHeight="1" x14ac:dyDescent="0.25">
      <c r="A7" s="1662"/>
      <c r="B7" s="1663"/>
      <c r="C7" s="1663"/>
      <c r="D7" s="1663"/>
      <c r="E7" s="1663"/>
      <c r="F7" s="1663"/>
      <c r="G7" s="1663"/>
      <c r="H7" s="1663"/>
      <c r="I7" s="1663"/>
      <c r="J7" s="1663"/>
      <c r="K7" s="1664"/>
    </row>
    <row r="8" spans="1:12" ht="12" customHeight="1" x14ac:dyDescent="0.25">
      <c r="A8" s="45"/>
      <c r="B8" s="46"/>
      <c r="C8" s="46"/>
      <c r="D8" s="46"/>
      <c r="E8" s="46"/>
      <c r="F8" s="45"/>
      <c r="G8" s="45"/>
      <c r="H8" s="45"/>
      <c r="I8" s="45"/>
      <c r="J8" s="45"/>
      <c r="K8" s="45"/>
    </row>
    <row r="9" spans="1:12" ht="18" customHeight="1" x14ac:dyDescent="0.25">
      <c r="A9" s="2431" t="s">
        <v>82</v>
      </c>
      <c r="B9" s="2431"/>
      <c r="C9" s="2431"/>
      <c r="D9" s="2431"/>
      <c r="E9" s="2431"/>
      <c r="F9" s="2431"/>
      <c r="G9" s="2431"/>
      <c r="H9" s="2431"/>
      <c r="I9" s="2431"/>
      <c r="J9" s="2431"/>
      <c r="K9" s="2431"/>
    </row>
    <row r="10" spans="1:12" x14ac:dyDescent="0.25">
      <c r="A10" s="45"/>
      <c r="B10" s="46"/>
      <c r="C10" s="46"/>
      <c r="D10" s="46"/>
      <c r="E10" s="46"/>
      <c r="F10" s="45"/>
      <c r="G10" s="45"/>
      <c r="H10" s="45"/>
      <c r="I10" s="45"/>
      <c r="J10" s="45"/>
      <c r="K10" s="45"/>
    </row>
    <row r="11" spans="1:12" ht="21" customHeight="1" x14ac:dyDescent="0.25">
      <c r="A11" s="45"/>
      <c r="B11" s="2435" t="s">
        <v>83</v>
      </c>
      <c r="C11" s="2436"/>
      <c r="D11" s="2436"/>
      <c r="E11" s="2436"/>
      <c r="F11" s="444" t="s">
        <v>64</v>
      </c>
      <c r="G11" s="444" t="s">
        <v>16</v>
      </c>
      <c r="H11" s="52" t="s">
        <v>133</v>
      </c>
      <c r="I11" s="45"/>
      <c r="J11" s="45"/>
      <c r="K11" s="45"/>
    </row>
    <row r="12" spans="1:12" ht="25.5" customHeight="1" x14ac:dyDescent="0.25">
      <c r="A12" s="45"/>
      <c r="B12" s="2113" t="s">
        <v>723</v>
      </c>
      <c r="C12" s="2114"/>
      <c r="D12" s="2114"/>
      <c r="E12" s="2115"/>
      <c r="F12" s="281">
        <v>1</v>
      </c>
      <c r="G12" s="281">
        <f>C52</f>
        <v>0</v>
      </c>
      <c r="H12" s="281" t="str">
        <f>C53</f>
        <v>No</v>
      </c>
      <c r="I12" s="45"/>
      <c r="J12" s="45"/>
      <c r="K12" s="45"/>
      <c r="L12" s="35" t="str">
        <f>IF(G12&lt;&gt;0,IF(H12="No","No","Yes"),"Yes")</f>
        <v>Yes</v>
      </c>
    </row>
    <row r="13" spans="1:12" ht="25.5" customHeight="1" x14ac:dyDescent="0.25">
      <c r="A13" s="45"/>
      <c r="B13" s="2113" t="s">
        <v>722</v>
      </c>
      <c r="C13" s="2114"/>
      <c r="D13" s="2114"/>
      <c r="E13" s="2115"/>
      <c r="F13" s="281">
        <v>1</v>
      </c>
      <c r="G13" s="281">
        <f>C88</f>
        <v>0</v>
      </c>
      <c r="H13" s="281" t="str">
        <f>C89</f>
        <v>No</v>
      </c>
      <c r="I13" s="45"/>
      <c r="J13" s="45"/>
      <c r="K13" s="45"/>
      <c r="L13" s="35" t="str">
        <f>IF(G13&lt;&gt;0,IF(H13="No","No","Yes"),"Yes")</f>
        <v>Yes</v>
      </c>
    </row>
    <row r="14" spans="1:12" ht="25.5" customHeight="1" x14ac:dyDescent="0.25">
      <c r="A14" s="45"/>
      <c r="B14" s="2113" t="s">
        <v>1018</v>
      </c>
      <c r="C14" s="2114"/>
      <c r="D14" s="2114"/>
      <c r="E14" s="2115"/>
      <c r="F14" s="281">
        <v>1</v>
      </c>
      <c r="G14" s="281">
        <f>C120</f>
        <v>0</v>
      </c>
      <c r="H14" s="281" t="str">
        <f>C121</f>
        <v>No</v>
      </c>
      <c r="I14" s="45"/>
      <c r="J14" s="45"/>
      <c r="K14" s="45"/>
      <c r="L14" s="35" t="str">
        <f>IF(G14&lt;&gt;0,IF(H14="No","No","Yes"),"Yes")</f>
        <v>Yes</v>
      </c>
    </row>
    <row r="15" spans="1:12" ht="18" customHeight="1" x14ac:dyDescent="0.25">
      <c r="A15" s="45"/>
      <c r="B15" s="1810" t="s">
        <v>25</v>
      </c>
      <c r="C15" s="1811"/>
      <c r="D15" s="1811"/>
      <c r="E15" s="1812"/>
      <c r="F15" s="498">
        <v>2</v>
      </c>
      <c r="G15" s="498">
        <f>MIN(2,G12+G13+G14)</f>
        <v>0</v>
      </c>
      <c r="H15" s="498" t="str">
        <f>IF(COUNTIF(H12:H14,"No")=3,"No",IF(COUNTIF(L12:L14,"Yes")=3,"Yes","No"))</f>
        <v>No</v>
      </c>
      <c r="I15" s="45"/>
      <c r="J15" s="45"/>
      <c r="K15" s="45"/>
    </row>
    <row r="16" spans="1:12" x14ac:dyDescent="0.25">
      <c r="A16" s="45"/>
      <c r="B16" s="46"/>
      <c r="C16" s="46"/>
      <c r="D16" s="46"/>
      <c r="E16" s="46"/>
      <c r="F16" s="45"/>
      <c r="G16" s="630" t="str">
        <f>IFERROR(IF(G12+G13+G14=3,"→ One EP-1 point can be targeted",""),"")</f>
        <v/>
      </c>
      <c r="H16" s="45"/>
      <c r="I16" s="45"/>
      <c r="J16" s="45"/>
      <c r="K16" s="45"/>
    </row>
    <row r="17" spans="1:13" ht="18" customHeight="1" x14ac:dyDescent="0.25">
      <c r="A17" s="2431" t="s">
        <v>724</v>
      </c>
      <c r="B17" s="2431"/>
      <c r="C17" s="2431"/>
      <c r="D17" s="2431"/>
      <c r="E17" s="2431"/>
      <c r="F17" s="2431"/>
      <c r="G17" s="2431"/>
      <c r="H17" s="2431"/>
      <c r="I17" s="2431"/>
      <c r="J17" s="2431"/>
      <c r="K17" s="2431"/>
    </row>
    <row r="18" spans="1:13" x14ac:dyDescent="0.25">
      <c r="A18" s="45"/>
      <c r="B18" s="46"/>
      <c r="C18" s="46"/>
      <c r="D18" s="46"/>
      <c r="E18" s="46"/>
      <c r="F18" s="45"/>
      <c r="G18" s="45"/>
      <c r="H18" s="45"/>
      <c r="I18" s="45"/>
      <c r="J18" s="45"/>
      <c r="K18" s="45"/>
    </row>
    <row r="19" spans="1:13" ht="16.5" customHeight="1" x14ac:dyDescent="0.25">
      <c r="A19" s="2468" t="s">
        <v>102</v>
      </c>
      <c r="B19" s="2468"/>
      <c r="C19" s="2468"/>
      <c r="D19" s="46"/>
      <c r="E19" s="46"/>
      <c r="F19" s="45"/>
      <c r="G19" s="45"/>
      <c r="H19" s="45"/>
      <c r="I19" s="45"/>
      <c r="J19" s="45"/>
      <c r="K19" s="45"/>
    </row>
    <row r="20" spans="1:13" ht="12" customHeight="1" x14ac:dyDescent="0.25">
      <c r="A20" s="45"/>
      <c r="B20" s="46"/>
      <c r="C20" s="46"/>
      <c r="D20" s="46"/>
      <c r="E20" s="46"/>
      <c r="F20" s="45"/>
      <c r="G20" s="45"/>
      <c r="H20" s="45"/>
      <c r="I20" s="45"/>
      <c r="J20" s="45"/>
      <c r="K20" s="45"/>
    </row>
    <row r="21" spans="1:13" x14ac:dyDescent="0.25">
      <c r="A21" s="45"/>
      <c r="B21" s="510" t="s">
        <v>992</v>
      </c>
      <c r="C21" s="46"/>
      <c r="D21" s="46"/>
      <c r="E21" s="46"/>
      <c r="F21" s="45"/>
      <c r="G21" s="45"/>
      <c r="H21" s="45"/>
      <c r="I21" s="45"/>
      <c r="J21" s="45"/>
      <c r="K21" s="45"/>
    </row>
    <row r="22" spans="1:13" x14ac:dyDescent="0.25">
      <c r="A22" s="45"/>
      <c r="B22" s="112"/>
      <c r="C22" s="46"/>
      <c r="D22" s="46"/>
      <c r="E22" s="46"/>
      <c r="F22" s="45"/>
      <c r="G22" s="45"/>
      <c r="H22" s="45"/>
      <c r="I22" s="45"/>
      <c r="J22" s="45"/>
      <c r="K22" s="45"/>
    </row>
    <row r="23" spans="1:13" x14ac:dyDescent="0.25">
      <c r="A23" s="45"/>
      <c r="B23" s="1844" t="s">
        <v>994</v>
      </c>
      <c r="C23" s="1845"/>
      <c r="D23" s="1845"/>
      <c r="E23" s="1845"/>
      <c r="F23" s="1845"/>
      <c r="G23" s="1845"/>
      <c r="H23" s="1845"/>
      <c r="I23" s="1846"/>
      <c r="J23" s="45"/>
      <c r="K23" s="45"/>
    </row>
    <row r="24" spans="1:13" ht="13.5" customHeight="1" x14ac:dyDescent="0.25">
      <c r="A24" s="45"/>
      <c r="B24" s="1776" t="s">
        <v>1482</v>
      </c>
      <c r="C24" s="1777"/>
      <c r="D24" s="1777"/>
      <c r="E24" s="1777"/>
      <c r="F24" s="1777"/>
      <c r="G24" s="1777"/>
      <c r="H24" s="1777"/>
      <c r="I24" s="1778"/>
      <c r="J24" s="45"/>
      <c r="K24" s="45"/>
    </row>
    <row r="25" spans="1:13" ht="13.5" customHeight="1" x14ac:dyDescent="0.25">
      <c r="A25" s="45"/>
      <c r="B25" s="1776"/>
      <c r="C25" s="1777"/>
      <c r="D25" s="1777"/>
      <c r="E25" s="1777"/>
      <c r="F25" s="1777"/>
      <c r="G25" s="1777"/>
      <c r="H25" s="1777"/>
      <c r="I25" s="1778"/>
      <c r="J25" s="45"/>
      <c r="K25" s="45"/>
    </row>
    <row r="26" spans="1:13" ht="13.5" customHeight="1" x14ac:dyDescent="0.25">
      <c r="A26" s="45"/>
      <c r="B26" s="2470"/>
      <c r="C26" s="2471"/>
      <c r="D26" s="2471"/>
      <c r="E26" s="2471"/>
      <c r="F26" s="2471"/>
      <c r="G26" s="2471"/>
      <c r="H26" s="2471"/>
      <c r="I26" s="2472"/>
      <c r="J26" s="45"/>
      <c r="K26" s="45"/>
      <c r="L26" s="53"/>
      <c r="M26" s="53"/>
    </row>
    <row r="27" spans="1:13" x14ac:dyDescent="0.25">
      <c r="A27" s="45"/>
      <c r="B27" s="112"/>
      <c r="C27" s="46"/>
      <c r="D27" s="46"/>
      <c r="E27" s="46"/>
      <c r="F27" s="45"/>
      <c r="G27" s="45"/>
      <c r="H27" s="45"/>
      <c r="I27" s="45"/>
      <c r="J27" s="45"/>
      <c r="K27" s="45"/>
      <c r="L27" s="53"/>
      <c r="M27" s="53"/>
    </row>
    <row r="28" spans="1:13" x14ac:dyDescent="0.25">
      <c r="A28" s="45"/>
      <c r="B28" s="535" t="s">
        <v>998</v>
      </c>
      <c r="C28" s="46"/>
      <c r="D28" s="46"/>
      <c r="E28" s="46"/>
      <c r="F28" s="45"/>
      <c r="G28" s="45"/>
      <c r="H28" s="45"/>
      <c r="I28" s="45"/>
      <c r="J28" s="45"/>
      <c r="K28" s="45"/>
      <c r="L28" s="53"/>
      <c r="M28" s="53"/>
    </row>
    <row r="29" spans="1:13" ht="12.75" customHeight="1" x14ac:dyDescent="0.25">
      <c r="A29" s="45"/>
      <c r="B29" s="112"/>
      <c r="C29" s="46"/>
      <c r="D29" s="46"/>
      <c r="E29" s="46"/>
      <c r="F29" s="45"/>
      <c r="G29" s="45"/>
      <c r="H29" s="45"/>
      <c r="I29" s="45"/>
      <c r="J29" s="45"/>
      <c r="K29" s="45"/>
      <c r="L29" s="53"/>
      <c r="M29" s="53"/>
    </row>
    <row r="30" spans="1:13" ht="18" customHeight="1" x14ac:dyDescent="0.25">
      <c r="A30" s="45"/>
      <c r="B30" s="1726" t="str">
        <f>IF('Project information'!C7="Certification stage","• Has a User guide been provided?","• Will a User guide be provided?")</f>
        <v>• Has a User guide been provided?</v>
      </c>
      <c r="C30" s="1726"/>
      <c r="D30" s="1726"/>
      <c r="E30" s="1726"/>
      <c r="F30" s="661" t="s">
        <v>53</v>
      </c>
      <c r="G30" s="45"/>
      <c r="H30" s="45"/>
      <c r="I30" s="45"/>
      <c r="J30" s="45"/>
      <c r="K30" s="45"/>
      <c r="L30" s="53"/>
      <c r="M30" s="53"/>
    </row>
    <row r="31" spans="1:13" ht="12.75" customHeight="1" x14ac:dyDescent="0.25">
      <c r="A31" s="45"/>
      <c r="B31" s="112"/>
      <c r="C31" s="46"/>
      <c r="D31" s="46"/>
      <c r="E31" s="46"/>
      <c r="F31" s="45"/>
      <c r="G31" s="45"/>
      <c r="H31" s="45"/>
      <c r="I31" s="45"/>
      <c r="J31" s="45"/>
      <c r="K31" s="45"/>
      <c r="L31" s="53"/>
      <c r="M31" s="53"/>
    </row>
    <row r="32" spans="1:13" ht="18" customHeight="1" x14ac:dyDescent="0.25">
      <c r="A32" s="45"/>
      <c r="B32" s="2419" t="s">
        <v>993</v>
      </c>
      <c r="C32" s="2420"/>
      <c r="D32" s="2420"/>
      <c r="E32" s="2420"/>
      <c r="F32" s="2420"/>
      <c r="G32" s="45"/>
      <c r="H32" s="45"/>
      <c r="I32" s="45"/>
      <c r="J32" s="45"/>
      <c r="K32" s="45"/>
      <c r="L32" s="53"/>
      <c r="M32" s="53"/>
    </row>
    <row r="33" spans="1:13" ht="18" customHeight="1" x14ac:dyDescent="0.25">
      <c r="A33" s="45"/>
      <c r="B33" s="1726" t="s">
        <v>995</v>
      </c>
      <c r="C33" s="1726"/>
      <c r="D33" s="1726"/>
      <c r="E33" s="1726"/>
      <c r="F33" s="661" t="s">
        <v>53</v>
      </c>
      <c r="G33" s="45"/>
      <c r="H33" s="45"/>
      <c r="I33" s="45"/>
      <c r="J33" s="45"/>
      <c r="K33" s="45"/>
      <c r="L33" s="53"/>
      <c r="M33" s="53"/>
    </row>
    <row r="34" spans="1:13" ht="18" customHeight="1" x14ac:dyDescent="0.25">
      <c r="A34" s="45"/>
      <c r="B34" s="1726" t="s">
        <v>803</v>
      </c>
      <c r="C34" s="1726"/>
      <c r="D34" s="1726"/>
      <c r="E34" s="1726"/>
      <c r="F34" s="661" t="s">
        <v>53</v>
      </c>
      <c r="G34" s="45"/>
      <c r="H34" s="45"/>
      <c r="I34" s="45"/>
      <c r="J34" s="45"/>
      <c r="K34" s="45"/>
      <c r="L34" s="53"/>
      <c r="M34" s="53"/>
    </row>
    <row r="35" spans="1:13" ht="18" customHeight="1" x14ac:dyDescent="0.25">
      <c r="A35" s="45"/>
      <c r="B35" s="1726" t="s">
        <v>804</v>
      </c>
      <c r="C35" s="1726"/>
      <c r="D35" s="1726"/>
      <c r="E35" s="1726"/>
      <c r="F35" s="661" t="s">
        <v>53</v>
      </c>
      <c r="G35" s="45"/>
      <c r="H35" s="45"/>
      <c r="I35" s="45"/>
      <c r="J35" s="45"/>
      <c r="K35" s="45"/>
      <c r="L35" s="53"/>
      <c r="M35" s="53"/>
    </row>
    <row r="36" spans="1:13" ht="18" customHeight="1" x14ac:dyDescent="0.25">
      <c r="A36" s="45"/>
      <c r="B36" s="1726" t="s">
        <v>805</v>
      </c>
      <c r="C36" s="1726"/>
      <c r="D36" s="1726"/>
      <c r="E36" s="1726"/>
      <c r="F36" s="661" t="s">
        <v>53</v>
      </c>
      <c r="G36" s="45"/>
      <c r="H36" s="45"/>
      <c r="I36" s="45"/>
      <c r="J36" s="45"/>
      <c r="K36" s="45"/>
      <c r="L36" s="53"/>
      <c r="M36" s="53"/>
    </row>
    <row r="37" spans="1:13" ht="18" customHeight="1" x14ac:dyDescent="0.25">
      <c r="A37" s="45"/>
      <c r="B37" s="1726" t="s">
        <v>806</v>
      </c>
      <c r="C37" s="1726"/>
      <c r="D37" s="1726"/>
      <c r="E37" s="1726"/>
      <c r="F37" s="661" t="s">
        <v>53</v>
      </c>
      <c r="G37" s="45"/>
      <c r="H37" s="45"/>
      <c r="I37" s="45"/>
      <c r="J37" s="45"/>
      <c r="K37" s="45"/>
      <c r="L37" s="53"/>
      <c r="M37" s="53"/>
    </row>
    <row r="38" spans="1:13" ht="18" customHeight="1" x14ac:dyDescent="0.25">
      <c r="A38" s="45"/>
      <c r="B38" s="1726" t="s">
        <v>807</v>
      </c>
      <c r="C38" s="1726"/>
      <c r="D38" s="1726"/>
      <c r="E38" s="1726"/>
      <c r="F38" s="661" t="s">
        <v>53</v>
      </c>
      <c r="G38" s="45"/>
      <c r="H38" s="45"/>
      <c r="I38" s="45"/>
      <c r="J38" s="45"/>
      <c r="K38" s="45"/>
      <c r="L38" s="53"/>
      <c r="M38" s="53"/>
    </row>
    <row r="39" spans="1:13" ht="18" customHeight="1" x14ac:dyDescent="0.25">
      <c r="A39" s="45"/>
      <c r="B39" s="1726" t="s">
        <v>808</v>
      </c>
      <c r="C39" s="1726"/>
      <c r="D39" s="1726"/>
      <c r="E39" s="1726"/>
      <c r="F39" s="661" t="s">
        <v>53</v>
      </c>
      <c r="G39" s="45"/>
      <c r="H39" s="45"/>
      <c r="I39" s="45"/>
      <c r="J39" s="45"/>
      <c r="K39" s="45"/>
      <c r="L39" s="53"/>
      <c r="M39" s="53"/>
    </row>
    <row r="40" spans="1:13" ht="18" customHeight="1" x14ac:dyDescent="0.25">
      <c r="A40" s="45"/>
      <c r="B40" s="1726" t="s">
        <v>809</v>
      </c>
      <c r="C40" s="1726"/>
      <c r="D40" s="1726"/>
      <c r="E40" s="1726"/>
      <c r="F40" s="661" t="s">
        <v>53</v>
      </c>
      <c r="G40" s="45"/>
      <c r="H40" s="45"/>
      <c r="I40" s="45"/>
      <c r="J40" s="45"/>
      <c r="K40" s="45"/>
      <c r="L40" s="53"/>
      <c r="M40" s="53"/>
    </row>
    <row r="41" spans="1:13" ht="18" customHeight="1" x14ac:dyDescent="0.25">
      <c r="A41" s="45"/>
      <c r="B41" s="1726" t="s">
        <v>810</v>
      </c>
      <c r="C41" s="1726"/>
      <c r="D41" s="1726"/>
      <c r="E41" s="1726"/>
      <c r="F41" s="661" t="s">
        <v>53</v>
      </c>
      <c r="G41" s="45"/>
      <c r="H41" s="45"/>
      <c r="I41" s="45"/>
      <c r="J41" s="45"/>
      <c r="K41" s="45"/>
      <c r="L41" s="53"/>
      <c r="M41" s="53"/>
    </row>
    <row r="42" spans="1:13" ht="18" customHeight="1" x14ac:dyDescent="0.25">
      <c r="A42" s="45"/>
      <c r="B42" s="46"/>
      <c r="C42" s="46"/>
      <c r="D42" s="46"/>
      <c r="E42" s="46"/>
      <c r="F42" s="45"/>
      <c r="G42" s="45"/>
      <c r="H42" s="45"/>
      <c r="I42" s="45"/>
      <c r="J42" s="45"/>
      <c r="K42" s="45"/>
      <c r="L42" s="53"/>
      <c r="M42" s="53"/>
    </row>
    <row r="43" spans="1:13" ht="18" customHeight="1" x14ac:dyDescent="0.25">
      <c r="A43" s="45"/>
      <c r="B43" s="2439" t="s">
        <v>1006</v>
      </c>
      <c r="C43" s="2439"/>
      <c r="D43" s="2439"/>
      <c r="E43" s="144" t="str">
        <f>IF(AND(F30="Yes",COUNTIF(F33:F41,"Yes")=9),"Yes","No")</f>
        <v>No</v>
      </c>
      <c r="F43" s="45"/>
      <c r="G43" s="45"/>
      <c r="H43" s="45"/>
      <c r="I43" s="45"/>
      <c r="J43" s="45"/>
      <c r="K43" s="45"/>
    </row>
    <row r="44" spans="1:13" ht="19.5" customHeight="1" x14ac:dyDescent="0.25">
      <c r="A44" s="45"/>
      <c r="B44" s="46"/>
      <c r="C44" s="46"/>
      <c r="D44" s="46"/>
      <c r="E44" s="45"/>
      <c r="F44" s="45"/>
      <c r="G44" s="45"/>
      <c r="H44" s="45"/>
      <c r="I44" s="45"/>
      <c r="J44" s="45"/>
      <c r="K44" s="45"/>
    </row>
    <row r="45" spans="1:13" ht="16.5" customHeight="1" x14ac:dyDescent="0.25">
      <c r="A45" s="2468" t="s">
        <v>84</v>
      </c>
      <c r="B45" s="2468"/>
      <c r="C45" s="2468"/>
      <c r="D45" s="46"/>
      <c r="E45" s="46"/>
      <c r="F45" s="45"/>
      <c r="G45" s="45"/>
      <c r="H45" s="45"/>
      <c r="I45" s="45"/>
      <c r="J45" s="45"/>
      <c r="K45" s="45"/>
    </row>
    <row r="46" spans="1:13" x14ac:dyDescent="0.25">
      <c r="A46" s="45"/>
      <c r="B46" s="46"/>
      <c r="C46" s="46"/>
      <c r="D46" s="46"/>
      <c r="E46" s="45"/>
      <c r="F46" s="45"/>
      <c r="G46" s="45"/>
      <c r="H46" s="45"/>
      <c r="I46" s="45"/>
      <c r="J46" s="45"/>
      <c r="K46" s="45"/>
    </row>
    <row r="47" spans="1:13" ht="21.75" customHeight="1" x14ac:dyDescent="0.25">
      <c r="A47" s="45"/>
      <c r="B47" s="2419" t="s">
        <v>85</v>
      </c>
      <c r="C47" s="2420"/>
      <c r="D47" s="2420"/>
      <c r="E47" s="2420"/>
      <c r="F47" s="2420"/>
      <c r="G47" s="660" t="s">
        <v>907</v>
      </c>
      <c r="H47" s="2441" t="s">
        <v>908</v>
      </c>
      <c r="I47" s="2442"/>
      <c r="J47" s="45"/>
      <c r="K47" s="45"/>
    </row>
    <row r="48" spans="1:13" ht="27" customHeight="1" x14ac:dyDescent="0.25">
      <c r="A48" s="45"/>
      <c r="B48" s="1648" t="str">
        <f>Submittals!G152</f>
        <v>• Copy of the User guide (scans, photographs or electronic version)</v>
      </c>
      <c r="C48" s="1649"/>
      <c r="D48" s="1649"/>
      <c r="E48" s="1649"/>
      <c r="F48" s="1650"/>
      <c r="G48" s="658" t="s">
        <v>53</v>
      </c>
      <c r="H48" s="1689"/>
      <c r="I48" s="1690"/>
      <c r="J48" s="45"/>
      <c r="K48" s="45"/>
      <c r="L48" s="35" t="str">
        <f>IF(OR(B48="/",B48="No evidence required at this submission stage"),"Yes",IF(G48="Submitted","Yes","No"))</f>
        <v>No</v>
      </c>
    </row>
    <row r="49" spans="1:13" x14ac:dyDescent="0.25">
      <c r="A49" s="45"/>
      <c r="B49" s="46"/>
      <c r="C49" s="46"/>
      <c r="D49" s="46"/>
      <c r="E49" s="45"/>
      <c r="F49" s="45"/>
      <c r="G49" s="45"/>
      <c r="H49" s="45"/>
      <c r="I49" s="45"/>
      <c r="J49" s="45"/>
      <c r="K49" s="45"/>
    </row>
    <row r="50" spans="1:13" ht="16.5" customHeight="1" x14ac:dyDescent="0.25">
      <c r="A50" s="2468" t="s">
        <v>5</v>
      </c>
      <c r="B50" s="2468"/>
      <c r="C50" s="2468"/>
      <c r="D50" s="46"/>
      <c r="E50" s="46"/>
      <c r="F50" s="45"/>
      <c r="G50" s="45"/>
      <c r="H50" s="45"/>
      <c r="I50" s="45"/>
      <c r="J50" s="45"/>
      <c r="K50" s="45"/>
    </row>
    <row r="51" spans="1:13" x14ac:dyDescent="0.25">
      <c r="A51" s="45"/>
      <c r="B51" s="46"/>
      <c r="C51" s="46"/>
      <c r="D51" s="46"/>
      <c r="E51" s="46"/>
      <c r="F51" s="45"/>
      <c r="G51" s="45"/>
      <c r="H51" s="45"/>
      <c r="I51" s="45"/>
      <c r="J51" s="45"/>
      <c r="K51" s="45"/>
    </row>
    <row r="52" spans="1:13" ht="18" customHeight="1" x14ac:dyDescent="0.25">
      <c r="A52" s="45"/>
      <c r="B52" s="143" t="s">
        <v>16</v>
      </c>
      <c r="C52" s="8">
        <f>IF(E43="Yes",1,0)</f>
        <v>0</v>
      </c>
      <c r="D52" s="46"/>
      <c r="E52" s="45"/>
      <c r="F52" s="45"/>
      <c r="G52" s="45"/>
      <c r="H52" s="45"/>
      <c r="I52" s="45"/>
      <c r="J52" s="45"/>
      <c r="K52" s="45"/>
    </row>
    <row r="53" spans="1:13" ht="18" customHeight="1" x14ac:dyDescent="0.25">
      <c r="A53" s="45"/>
      <c r="B53" s="143" t="s">
        <v>133</v>
      </c>
      <c r="C53" s="108" t="str">
        <f>IF(AND(COUNTIF(L48:L48,"Yes")=1,C52&gt;0),"Yes","No")</f>
        <v>No</v>
      </c>
      <c r="D53" s="46"/>
      <c r="E53" s="46"/>
      <c r="F53" s="45"/>
      <c r="G53" s="45"/>
      <c r="H53" s="45"/>
      <c r="I53" s="45"/>
      <c r="J53" s="45"/>
      <c r="K53" s="45"/>
    </row>
    <row r="54" spans="1:13" ht="20.25" customHeight="1" x14ac:dyDescent="0.25">
      <c r="A54" s="45"/>
      <c r="B54" s="46"/>
      <c r="C54" s="46"/>
      <c r="D54" s="46"/>
      <c r="E54" s="46"/>
      <c r="F54" s="45"/>
      <c r="G54" s="45"/>
      <c r="H54" s="45"/>
      <c r="I54" s="45"/>
      <c r="J54" s="45"/>
      <c r="K54" s="45"/>
    </row>
    <row r="55" spans="1:13" ht="18" customHeight="1" x14ac:dyDescent="0.25">
      <c r="A55" s="2431" t="s">
        <v>726</v>
      </c>
      <c r="B55" s="2431"/>
      <c r="C55" s="2431"/>
      <c r="D55" s="2431"/>
      <c r="E55" s="2431"/>
      <c r="F55" s="2431"/>
      <c r="G55" s="2431"/>
      <c r="H55" s="2431"/>
      <c r="I55" s="2431"/>
      <c r="J55" s="2431"/>
      <c r="K55" s="2431"/>
    </row>
    <row r="56" spans="1:13" x14ac:dyDescent="0.25">
      <c r="A56" s="45"/>
      <c r="B56" s="46"/>
      <c r="C56" s="46"/>
      <c r="D56" s="46"/>
      <c r="E56" s="46"/>
      <c r="F56" s="45"/>
      <c r="G56" s="45"/>
      <c r="H56" s="45"/>
      <c r="I56" s="45"/>
      <c r="J56" s="45"/>
      <c r="K56" s="45"/>
    </row>
    <row r="57" spans="1:13" ht="16.5" customHeight="1" x14ac:dyDescent="0.25">
      <c r="A57" s="2468" t="s">
        <v>102</v>
      </c>
      <c r="B57" s="2468"/>
      <c r="C57" s="2468"/>
      <c r="D57" s="46"/>
      <c r="E57" s="46"/>
      <c r="F57" s="45"/>
      <c r="G57" s="45"/>
      <c r="H57" s="45"/>
      <c r="I57" s="45"/>
      <c r="J57" s="45"/>
      <c r="K57" s="45"/>
    </row>
    <row r="58" spans="1:13" ht="12" customHeight="1" x14ac:dyDescent="0.25">
      <c r="A58" s="45"/>
      <c r="B58" s="46"/>
      <c r="C58" s="46"/>
      <c r="D58" s="46"/>
      <c r="E58" s="46"/>
      <c r="F58" s="45"/>
      <c r="G58" s="45"/>
      <c r="H58" s="45"/>
      <c r="I58" s="45"/>
      <c r="J58" s="45"/>
      <c r="K58" s="45"/>
    </row>
    <row r="59" spans="1:13" x14ac:dyDescent="0.25">
      <c r="A59" s="45"/>
      <c r="B59" s="510" t="s">
        <v>802</v>
      </c>
      <c r="C59" s="46"/>
      <c r="D59" s="46"/>
      <c r="E59" s="46"/>
      <c r="F59" s="45"/>
      <c r="G59" s="45"/>
      <c r="H59" s="45"/>
      <c r="I59" s="45"/>
      <c r="J59" s="45"/>
      <c r="K59" s="45"/>
    </row>
    <row r="60" spans="1:13" x14ac:dyDescent="0.25">
      <c r="A60" s="45"/>
      <c r="B60" s="112"/>
      <c r="C60" s="46"/>
      <c r="D60" s="46"/>
      <c r="E60" s="46"/>
      <c r="F60" s="45"/>
      <c r="G60" s="45"/>
      <c r="H60" s="45"/>
      <c r="I60" s="45"/>
      <c r="J60" s="45"/>
      <c r="K60" s="45"/>
    </row>
    <row r="61" spans="1:13" ht="16.5" customHeight="1" x14ac:dyDescent="0.25">
      <c r="A61" s="45"/>
      <c r="B61" s="2473" t="s">
        <v>999</v>
      </c>
      <c r="C61" s="2474"/>
      <c r="D61" s="2474"/>
      <c r="E61" s="2474"/>
      <c r="F61" s="2474"/>
      <c r="G61" s="2474"/>
      <c r="H61" s="2475"/>
      <c r="I61" s="45"/>
      <c r="J61" s="45"/>
      <c r="K61" s="45"/>
    </row>
    <row r="62" spans="1:13" ht="16.5" customHeight="1" x14ac:dyDescent="0.25">
      <c r="A62" s="45"/>
      <c r="B62" s="1973" t="s">
        <v>1002</v>
      </c>
      <c r="C62" s="1974"/>
      <c r="D62" s="1974"/>
      <c r="E62" s="1974"/>
      <c r="F62" s="1974"/>
      <c r="G62" s="1974"/>
      <c r="H62" s="1975"/>
      <c r="I62" s="45"/>
      <c r="J62" s="45"/>
      <c r="K62" s="45"/>
    </row>
    <row r="63" spans="1:13" ht="16.5" customHeight="1" x14ac:dyDescent="0.25">
      <c r="A63" s="45"/>
      <c r="B63" s="2476" t="s">
        <v>1000</v>
      </c>
      <c r="C63" s="2477"/>
      <c r="D63" s="2477"/>
      <c r="E63" s="2477"/>
      <c r="F63" s="2477"/>
      <c r="G63" s="2477"/>
      <c r="H63" s="2478"/>
      <c r="I63" s="45"/>
      <c r="J63" s="45"/>
      <c r="K63" s="45"/>
      <c r="L63" s="53"/>
      <c r="M63" s="53"/>
    </row>
    <row r="64" spans="1:13" ht="18" customHeight="1" x14ac:dyDescent="0.25">
      <c r="A64" s="45"/>
      <c r="B64" s="45"/>
      <c r="C64" s="45"/>
      <c r="D64" s="45"/>
      <c r="E64" s="45"/>
      <c r="F64" s="45"/>
      <c r="G64" s="45"/>
      <c r="H64" s="45"/>
      <c r="I64" s="45"/>
      <c r="J64" s="45"/>
      <c r="K64" s="45"/>
      <c r="L64" s="53"/>
      <c r="M64" s="53"/>
    </row>
    <row r="65" spans="1:13" ht="18" customHeight="1" x14ac:dyDescent="0.25">
      <c r="A65" s="45"/>
      <c r="B65" s="535" t="s">
        <v>698</v>
      </c>
      <c r="C65" s="45"/>
      <c r="D65" s="45"/>
      <c r="E65" s="45"/>
      <c r="F65" s="45"/>
      <c r="G65" s="45"/>
      <c r="H65" s="45"/>
      <c r="I65" s="45"/>
      <c r="J65" s="45"/>
      <c r="K65" s="45"/>
      <c r="L65" s="53"/>
      <c r="M65" s="53"/>
    </row>
    <row r="66" spans="1:13" x14ac:dyDescent="0.25">
      <c r="A66" s="45"/>
      <c r="B66" s="45"/>
      <c r="C66" s="45"/>
      <c r="D66" s="45"/>
      <c r="E66" s="45"/>
      <c r="F66" s="45"/>
      <c r="G66" s="45"/>
      <c r="H66" s="45"/>
      <c r="I66" s="45"/>
      <c r="J66" s="45"/>
      <c r="K66" s="45"/>
      <c r="L66" s="53"/>
      <c r="M66" s="53"/>
    </row>
    <row r="67" spans="1:13" ht="18" customHeight="1" x14ac:dyDescent="0.25">
      <c r="A67" s="45"/>
      <c r="B67" s="1726" t="str">
        <f>IF('Project information'!C7="Certification stage","• Has a Green Training been provided to all the occupants?","• Will a Green Training be provided to all the occupants?")</f>
        <v>• Has a Green Training been provided to all the occupants?</v>
      </c>
      <c r="C67" s="1726"/>
      <c r="D67" s="1726"/>
      <c r="E67" s="1726"/>
      <c r="F67" s="661" t="s">
        <v>53</v>
      </c>
      <c r="G67" s="45"/>
      <c r="H67" s="45"/>
      <c r="I67" s="45"/>
      <c r="J67" s="45"/>
      <c r="K67" s="45"/>
      <c r="L67" s="53"/>
      <c r="M67" s="53"/>
    </row>
    <row r="68" spans="1:13" ht="15.75" customHeight="1" x14ac:dyDescent="0.25">
      <c r="A68" s="45"/>
      <c r="B68" s="112"/>
      <c r="C68" s="46"/>
      <c r="D68" s="46"/>
      <c r="E68" s="46"/>
      <c r="F68" s="45"/>
      <c r="G68" s="45"/>
      <c r="H68" s="45"/>
      <c r="I68" s="45"/>
      <c r="J68" s="45"/>
      <c r="K68" s="45"/>
      <c r="L68" s="53"/>
      <c r="M68" s="53"/>
    </row>
    <row r="69" spans="1:13" ht="18" customHeight="1" x14ac:dyDescent="0.25">
      <c r="A69" s="45"/>
      <c r="B69" s="2419" t="s">
        <v>1008</v>
      </c>
      <c r="C69" s="2420"/>
      <c r="D69" s="2420"/>
      <c r="E69" s="2420"/>
      <c r="F69" s="2420"/>
      <c r="G69" s="45"/>
      <c r="H69" s="45"/>
      <c r="I69" s="45"/>
      <c r="J69" s="45"/>
      <c r="K69" s="45"/>
      <c r="L69" s="53"/>
      <c r="M69" s="53"/>
    </row>
    <row r="70" spans="1:13" ht="18" customHeight="1" x14ac:dyDescent="0.25">
      <c r="A70" s="45"/>
      <c r="B70" s="1726" t="s">
        <v>1001</v>
      </c>
      <c r="C70" s="1726"/>
      <c r="D70" s="1726"/>
      <c r="E70" s="1726"/>
      <c r="F70" s="661" t="s">
        <v>53</v>
      </c>
      <c r="G70" s="45"/>
      <c r="H70" s="45"/>
      <c r="I70" s="45"/>
      <c r="J70" s="45"/>
      <c r="K70" s="45"/>
      <c r="L70" s="53"/>
      <c r="M70" s="53"/>
    </row>
    <row r="71" spans="1:13" ht="18" customHeight="1" x14ac:dyDescent="0.25">
      <c r="A71" s="45"/>
      <c r="B71" s="1726" t="s">
        <v>1003</v>
      </c>
      <c r="C71" s="1726"/>
      <c r="D71" s="1726"/>
      <c r="E71" s="1726"/>
      <c r="F71" s="661" t="s">
        <v>53</v>
      </c>
      <c r="G71" s="45"/>
      <c r="H71" s="45"/>
      <c r="I71" s="45"/>
      <c r="J71" s="45"/>
      <c r="K71" s="45"/>
      <c r="L71" s="53"/>
      <c r="M71" s="53"/>
    </row>
    <row r="72" spans="1:13" ht="18" customHeight="1" x14ac:dyDescent="0.25">
      <c r="A72" s="45"/>
      <c r="B72" s="1726" t="s">
        <v>1007</v>
      </c>
      <c r="C72" s="1726"/>
      <c r="D72" s="1726"/>
      <c r="E72" s="1726"/>
      <c r="F72" s="661" t="s">
        <v>53</v>
      </c>
      <c r="G72" s="45"/>
      <c r="H72" s="45"/>
      <c r="I72" s="45"/>
      <c r="J72" s="45"/>
      <c r="K72" s="45"/>
      <c r="L72" s="53"/>
      <c r="M72" s="53"/>
    </row>
    <row r="73" spans="1:13" ht="18" customHeight="1" x14ac:dyDescent="0.25">
      <c r="A73" s="45"/>
      <c r="B73" s="1726" t="s">
        <v>1004</v>
      </c>
      <c r="C73" s="1726"/>
      <c r="D73" s="1726"/>
      <c r="E73" s="1726"/>
      <c r="F73" s="661" t="s">
        <v>53</v>
      </c>
      <c r="G73" s="45"/>
      <c r="H73" s="45"/>
      <c r="I73" s="45"/>
      <c r="J73" s="45"/>
      <c r="K73" s="45"/>
      <c r="L73" s="53"/>
      <c r="M73" s="53"/>
    </row>
    <row r="74" spans="1:13" ht="18" customHeight="1" x14ac:dyDescent="0.25">
      <c r="A74" s="45"/>
      <c r="B74" s="1726" t="s">
        <v>1009</v>
      </c>
      <c r="C74" s="1726"/>
      <c r="D74" s="1726"/>
      <c r="E74" s="1726"/>
      <c r="F74" s="661" t="s">
        <v>53</v>
      </c>
      <c r="G74" s="45"/>
      <c r="H74" s="45"/>
      <c r="I74" s="45"/>
      <c r="J74" s="45"/>
      <c r="K74" s="45"/>
      <c r="L74" s="53"/>
      <c r="M74" s="53"/>
    </row>
    <row r="75" spans="1:13" ht="18" customHeight="1" x14ac:dyDescent="0.25">
      <c r="A75" s="45"/>
      <c r="B75" s="1726" t="s">
        <v>1010</v>
      </c>
      <c r="C75" s="1726"/>
      <c r="D75" s="1726"/>
      <c r="E75" s="1726"/>
      <c r="F75" s="661" t="s">
        <v>53</v>
      </c>
      <c r="G75" s="45"/>
      <c r="H75" s="45"/>
      <c r="I75" s="45"/>
      <c r="J75" s="45"/>
      <c r="K75" s="45"/>
      <c r="L75" s="53"/>
      <c r="M75" s="53"/>
    </row>
    <row r="76" spans="1:13" ht="18" customHeight="1" x14ac:dyDescent="0.25">
      <c r="A76" s="45"/>
      <c r="B76" s="1726" t="s">
        <v>1011</v>
      </c>
      <c r="C76" s="1726"/>
      <c r="D76" s="1726"/>
      <c r="E76" s="1726"/>
      <c r="F76" s="661" t="s">
        <v>53</v>
      </c>
      <c r="G76" s="45"/>
      <c r="H76" s="45"/>
      <c r="I76" s="45"/>
      <c r="J76" s="45"/>
      <c r="K76" s="45"/>
      <c r="L76" s="53"/>
      <c r="M76" s="53"/>
    </row>
    <row r="77" spans="1:13" ht="12" customHeight="1" x14ac:dyDescent="0.25">
      <c r="A77" s="45"/>
      <c r="B77" s="46"/>
      <c r="C77" s="46"/>
      <c r="D77" s="46"/>
      <c r="E77" s="46"/>
      <c r="F77" s="45"/>
      <c r="G77" s="45"/>
      <c r="H77" s="45"/>
      <c r="I77" s="45"/>
      <c r="J77" s="45"/>
      <c r="K77" s="45"/>
    </row>
    <row r="78" spans="1:13" ht="18" customHeight="1" x14ac:dyDescent="0.25">
      <c r="A78" s="45"/>
      <c r="B78" s="2439" t="s">
        <v>1005</v>
      </c>
      <c r="C78" s="2439"/>
      <c r="D78" s="2439"/>
      <c r="E78" s="144" t="str">
        <f>IF(AND(F67="Yes",COUNTIF(F70:F76,"Yes")=7),"Yes","No")</f>
        <v>No</v>
      </c>
      <c r="F78" s="45"/>
      <c r="G78" s="45"/>
      <c r="H78" s="45"/>
      <c r="I78" s="45"/>
      <c r="J78" s="45"/>
      <c r="K78" s="45"/>
    </row>
    <row r="79" spans="1:13" ht="18.75" customHeight="1" x14ac:dyDescent="0.25">
      <c r="A79" s="45"/>
      <c r="B79" s="46"/>
      <c r="C79" s="46"/>
      <c r="D79" s="46"/>
      <c r="E79" s="45"/>
      <c r="F79" s="45"/>
      <c r="G79" s="45"/>
      <c r="H79" s="45"/>
      <c r="I79" s="45"/>
      <c r="J79" s="45"/>
      <c r="K79" s="45"/>
    </row>
    <row r="80" spans="1:13" ht="16.5" customHeight="1" x14ac:dyDescent="0.25">
      <c r="A80" s="2468" t="s">
        <v>84</v>
      </c>
      <c r="B80" s="2468"/>
      <c r="C80" s="2468"/>
      <c r="D80" s="46"/>
      <c r="E80" s="46"/>
      <c r="F80" s="45"/>
      <c r="G80" s="45"/>
      <c r="H80" s="45"/>
      <c r="I80" s="45"/>
      <c r="J80" s="45"/>
      <c r="K80" s="45"/>
    </row>
    <row r="81" spans="1:12" x14ac:dyDescent="0.25">
      <c r="A81" s="45"/>
      <c r="B81" s="46"/>
      <c r="C81" s="46"/>
      <c r="D81" s="46"/>
      <c r="E81" s="45"/>
      <c r="F81" s="45"/>
      <c r="G81" s="45"/>
      <c r="H81" s="45"/>
      <c r="I81" s="45"/>
      <c r="J81" s="45"/>
      <c r="K81" s="45"/>
    </row>
    <row r="82" spans="1:12" ht="21" customHeight="1" x14ac:dyDescent="0.25">
      <c r="A82" s="45"/>
      <c r="B82" s="2419" t="s">
        <v>85</v>
      </c>
      <c r="C82" s="2420"/>
      <c r="D82" s="2420"/>
      <c r="E82" s="2420"/>
      <c r="F82" s="2420"/>
      <c r="G82" s="660" t="s">
        <v>907</v>
      </c>
      <c r="H82" s="2441" t="s">
        <v>908</v>
      </c>
      <c r="I82" s="2442"/>
      <c r="J82" s="45"/>
      <c r="K82" s="45"/>
    </row>
    <row r="83" spans="1:12" ht="27" customHeight="1" x14ac:dyDescent="0.25">
      <c r="A83" s="45"/>
      <c r="B83" s="1648" t="str">
        <f>Submittals!G154</f>
        <v>• Green Training program showing topics of the training, schedule, participants</v>
      </c>
      <c r="C83" s="1649"/>
      <c r="D83" s="1649"/>
      <c r="E83" s="1649"/>
      <c r="F83" s="1650"/>
      <c r="G83" s="664" t="s">
        <v>53</v>
      </c>
      <c r="H83" s="1689"/>
      <c r="I83" s="1690"/>
      <c r="J83" s="45"/>
      <c r="K83" s="45"/>
      <c r="L83" s="35" t="str">
        <f>IF(OR(B83="/",B83="No evidence required at this submission stage"),"Yes",IF(G83="Submitted","Yes","No"))</f>
        <v>No</v>
      </c>
    </row>
    <row r="84" spans="1:12" ht="30" customHeight="1" x14ac:dyDescent="0.25">
      <c r="A84" s="45"/>
      <c r="B84" s="1648" t="str">
        <f>Submittals!G155</f>
        <v>• Evidence showing that occupants of the interior space attended the Green Training such as photographs, signed attendance sheets, etc.</v>
      </c>
      <c r="C84" s="1649"/>
      <c r="D84" s="1649"/>
      <c r="E84" s="1649"/>
      <c r="F84" s="1650"/>
      <c r="G84" s="664" t="s">
        <v>53</v>
      </c>
      <c r="H84" s="1689"/>
      <c r="I84" s="1690"/>
      <c r="J84" s="45"/>
      <c r="K84" s="45"/>
      <c r="L84" s="35" t="str">
        <f>IF(OR(B84="/",B84="No evidence required at this submission stage"),"Yes",IF(G84="Submitted","Yes","No"))</f>
        <v>No</v>
      </c>
    </row>
    <row r="85" spans="1:12" ht="18.75" customHeight="1" x14ac:dyDescent="0.25">
      <c r="A85" s="45"/>
      <c r="B85" s="46"/>
      <c r="C85" s="46"/>
      <c r="D85" s="46"/>
      <c r="E85" s="45"/>
      <c r="F85" s="45"/>
      <c r="G85" s="45"/>
      <c r="H85" s="45"/>
      <c r="I85" s="45"/>
      <c r="J85" s="45"/>
      <c r="K85" s="45"/>
    </row>
    <row r="86" spans="1:12" ht="16.5" customHeight="1" x14ac:dyDescent="0.25">
      <c r="A86" s="2468" t="s">
        <v>5</v>
      </c>
      <c r="B86" s="2468"/>
      <c r="C86" s="2468"/>
      <c r="D86" s="46"/>
      <c r="E86" s="46"/>
      <c r="F86" s="45"/>
      <c r="G86" s="45"/>
      <c r="H86" s="45"/>
      <c r="I86" s="45"/>
      <c r="J86" s="45"/>
      <c r="K86" s="45"/>
    </row>
    <row r="87" spans="1:12" x14ac:dyDescent="0.25">
      <c r="A87" s="45"/>
      <c r="B87" s="46"/>
      <c r="C87" s="46"/>
      <c r="D87" s="46"/>
      <c r="E87" s="46"/>
      <c r="F87" s="45"/>
      <c r="G87" s="45"/>
      <c r="H87" s="45"/>
      <c r="I87" s="45"/>
      <c r="J87" s="45"/>
      <c r="K87" s="45"/>
    </row>
    <row r="88" spans="1:12" ht="18" customHeight="1" x14ac:dyDescent="0.25">
      <c r="A88" s="45"/>
      <c r="B88" s="143" t="s">
        <v>16</v>
      </c>
      <c r="C88" s="8">
        <f>IF(E78="Yes",1,0)</f>
        <v>0</v>
      </c>
      <c r="D88" s="46"/>
      <c r="E88" s="45"/>
      <c r="F88" s="45"/>
      <c r="G88" s="45"/>
      <c r="H88" s="45"/>
      <c r="I88" s="45"/>
      <c r="J88" s="45"/>
      <c r="K88" s="45"/>
    </row>
    <row r="89" spans="1:12" ht="18" customHeight="1" x14ac:dyDescent="0.25">
      <c r="A89" s="45"/>
      <c r="B89" s="143" t="s">
        <v>133</v>
      </c>
      <c r="C89" s="108" t="str">
        <f>IF(AND(COUNTIF(L83:L84,"Yes")=2,C88&gt;0),"Yes","No")</f>
        <v>No</v>
      </c>
      <c r="D89" s="46"/>
      <c r="E89" s="46"/>
      <c r="F89" s="45"/>
      <c r="G89" s="45"/>
      <c r="H89" s="45"/>
      <c r="I89" s="45"/>
      <c r="J89" s="45"/>
      <c r="K89" s="45"/>
    </row>
    <row r="90" spans="1:12" ht="21" customHeight="1" x14ac:dyDescent="0.25">
      <c r="A90" s="45"/>
      <c r="B90" s="46"/>
      <c r="C90" s="46"/>
      <c r="D90" s="46"/>
      <c r="E90" s="46"/>
      <c r="F90" s="45"/>
      <c r="G90" s="45"/>
      <c r="H90" s="45"/>
      <c r="I90" s="45"/>
      <c r="J90" s="45"/>
      <c r="K90" s="45"/>
    </row>
    <row r="91" spans="1:12" ht="18" customHeight="1" x14ac:dyDescent="0.25">
      <c r="A91" s="2431" t="s">
        <v>725</v>
      </c>
      <c r="B91" s="2431"/>
      <c r="C91" s="2431"/>
      <c r="D91" s="2431"/>
      <c r="E91" s="2431"/>
      <c r="F91" s="2431"/>
      <c r="G91" s="2431"/>
      <c r="H91" s="2431"/>
      <c r="I91" s="2431"/>
      <c r="J91" s="2431"/>
      <c r="K91" s="2431"/>
    </row>
    <row r="92" spans="1:12" x14ac:dyDescent="0.25">
      <c r="A92" s="45"/>
      <c r="B92" s="46"/>
      <c r="C92" s="46"/>
      <c r="D92" s="46"/>
      <c r="E92" s="46"/>
      <c r="F92" s="45"/>
      <c r="G92" s="45"/>
      <c r="H92" s="45"/>
      <c r="I92" s="45"/>
      <c r="J92" s="45"/>
      <c r="K92" s="45"/>
    </row>
    <row r="93" spans="1:12" ht="16.5" customHeight="1" x14ac:dyDescent="0.25">
      <c r="A93" s="2468" t="s">
        <v>102</v>
      </c>
      <c r="B93" s="2468"/>
      <c r="C93" s="2468"/>
      <c r="D93" s="46"/>
      <c r="E93" s="46"/>
      <c r="F93" s="45"/>
      <c r="G93" s="45"/>
      <c r="H93" s="45"/>
      <c r="I93" s="45"/>
      <c r="J93" s="45"/>
      <c r="K93" s="45"/>
    </row>
    <row r="94" spans="1:12" ht="12" customHeight="1" x14ac:dyDescent="0.25">
      <c r="A94" s="45"/>
      <c r="B94" s="46"/>
      <c r="C94" s="46"/>
      <c r="D94" s="46"/>
      <c r="E94" s="46"/>
      <c r="F94" s="45"/>
      <c r="G94" s="45"/>
      <c r="H94" s="45"/>
      <c r="I94" s="45"/>
      <c r="J94" s="45"/>
      <c r="K94" s="45"/>
    </row>
    <row r="95" spans="1:12" x14ac:dyDescent="0.25">
      <c r="A95" s="45"/>
      <c r="B95" s="510" t="s">
        <v>1017</v>
      </c>
      <c r="C95" s="46"/>
      <c r="D95" s="46"/>
      <c r="E95" s="46"/>
      <c r="F95" s="45"/>
      <c r="G95" s="45"/>
      <c r="H95" s="45"/>
      <c r="I95" s="45"/>
      <c r="J95" s="45"/>
      <c r="K95" s="45"/>
    </row>
    <row r="96" spans="1:12" x14ac:dyDescent="0.25">
      <c r="A96" s="45"/>
      <c r="B96" s="46"/>
      <c r="C96" s="46"/>
      <c r="D96" s="46"/>
      <c r="E96" s="46"/>
      <c r="F96" s="45"/>
      <c r="G96" s="45"/>
      <c r="H96" s="45"/>
      <c r="I96" s="45"/>
      <c r="J96" s="45"/>
      <c r="K96" s="45"/>
    </row>
    <row r="97" spans="1:13" x14ac:dyDescent="0.25">
      <c r="A97" s="45"/>
      <c r="B97" s="2473" t="s">
        <v>1014</v>
      </c>
      <c r="C97" s="2474"/>
      <c r="D97" s="2474"/>
      <c r="E97" s="2474"/>
      <c r="F97" s="2474"/>
      <c r="G97" s="2474"/>
      <c r="H97" s="2474"/>
      <c r="I97" s="2475"/>
      <c r="J97" s="45"/>
      <c r="K97" s="45"/>
    </row>
    <row r="98" spans="1:13" x14ac:dyDescent="0.25">
      <c r="A98" s="45"/>
      <c r="B98" s="1973" t="s">
        <v>1015</v>
      </c>
      <c r="C98" s="1974"/>
      <c r="D98" s="1974"/>
      <c r="E98" s="1974"/>
      <c r="F98" s="1974"/>
      <c r="G98" s="1974"/>
      <c r="H98" s="1974"/>
      <c r="I98" s="1975"/>
      <c r="J98" s="45"/>
      <c r="K98" s="45"/>
    </row>
    <row r="99" spans="1:13" x14ac:dyDescent="0.25">
      <c r="A99" s="45"/>
      <c r="B99" s="2337" t="s">
        <v>1016</v>
      </c>
      <c r="C99" s="2338"/>
      <c r="D99" s="2338"/>
      <c r="E99" s="2338"/>
      <c r="F99" s="2338"/>
      <c r="G99" s="2338"/>
      <c r="H99" s="2338"/>
      <c r="I99" s="2339"/>
      <c r="J99" s="45"/>
      <c r="K99" s="45"/>
    </row>
    <row r="100" spans="1:13" ht="16.5" customHeight="1" x14ac:dyDescent="0.25">
      <c r="A100" s="45"/>
      <c r="B100" s="46"/>
      <c r="C100" s="46"/>
      <c r="D100" s="46"/>
      <c r="E100" s="46"/>
      <c r="F100" s="45"/>
      <c r="G100" s="45"/>
      <c r="H100" s="45"/>
      <c r="I100" s="45"/>
      <c r="J100" s="45"/>
      <c r="K100" s="45"/>
    </row>
    <row r="101" spans="1:13" ht="18" customHeight="1" x14ac:dyDescent="0.25">
      <c r="A101" s="45"/>
      <c r="B101" s="535" t="s">
        <v>698</v>
      </c>
      <c r="C101" s="46"/>
      <c r="D101" s="46"/>
      <c r="E101" s="46"/>
      <c r="F101" s="45"/>
      <c r="G101" s="45"/>
      <c r="H101" s="45"/>
      <c r="I101" s="45"/>
      <c r="J101" s="45"/>
      <c r="K101" s="45"/>
    </row>
    <row r="102" spans="1:13" x14ac:dyDescent="0.25">
      <c r="A102" s="45"/>
      <c r="B102" s="45"/>
      <c r="C102" s="45"/>
      <c r="D102" s="45"/>
      <c r="E102" s="45"/>
      <c r="F102" s="45"/>
      <c r="G102" s="45"/>
      <c r="H102" s="45"/>
      <c r="I102" s="45"/>
      <c r="J102" s="45"/>
      <c r="K102" s="45"/>
      <c r="L102" s="53"/>
      <c r="M102" s="53"/>
    </row>
    <row r="103" spans="1:13" ht="18" customHeight="1" x14ac:dyDescent="0.25">
      <c r="A103" s="45"/>
      <c r="B103" s="1726" t="str">
        <f>IF('Project information'!C7="Certification stage","• Has a permanent green awareness campaign been implemented?","• Will a permanent green awareness campaign be implemented?")</f>
        <v>• Has a permanent green awareness campaign been implemented?</v>
      </c>
      <c r="C103" s="1726"/>
      <c r="D103" s="1726"/>
      <c r="E103" s="1726"/>
      <c r="F103" s="661" t="s">
        <v>53</v>
      </c>
      <c r="G103" s="45"/>
      <c r="H103" s="45"/>
      <c r="I103" s="45"/>
      <c r="J103" s="45"/>
      <c r="K103" s="45"/>
      <c r="L103" s="53"/>
      <c r="M103" s="53"/>
    </row>
    <row r="104" spans="1:13" ht="15.75" customHeight="1" x14ac:dyDescent="0.25">
      <c r="A104" s="45"/>
      <c r="B104" s="45"/>
      <c r="C104" s="45"/>
      <c r="D104" s="45"/>
      <c r="E104" s="45"/>
      <c r="F104" s="45"/>
      <c r="G104" s="45"/>
      <c r="H104" s="45"/>
      <c r="I104" s="45"/>
      <c r="J104" s="45"/>
      <c r="K104" s="45"/>
      <c r="L104" s="53"/>
      <c r="M104" s="53"/>
    </row>
    <row r="105" spans="1:13" ht="18" customHeight="1" x14ac:dyDescent="0.25">
      <c r="A105" s="45"/>
      <c r="B105" s="2419" t="str">
        <f>IF('Project information'!C7="Certification stage","Is the following information displayed in the green awareness campaign?","Will the following information be displayed in the green awareness campaign?")</f>
        <v>Is the following information displayed in the green awareness campaign?</v>
      </c>
      <c r="C105" s="2420"/>
      <c r="D105" s="2420"/>
      <c r="E105" s="2420"/>
      <c r="F105" s="2420"/>
      <c r="G105" s="45"/>
      <c r="H105" s="45"/>
      <c r="I105" s="45"/>
      <c r="J105" s="45"/>
      <c r="K105" s="45"/>
      <c r="L105" s="53"/>
      <c r="M105" s="53"/>
    </row>
    <row r="106" spans="1:13" ht="18" customHeight="1" x14ac:dyDescent="0.25">
      <c r="A106" s="45"/>
      <c r="B106" s="1726" t="s">
        <v>1019</v>
      </c>
      <c r="C106" s="1726"/>
      <c r="D106" s="1726"/>
      <c r="E106" s="1726"/>
      <c r="F106" s="661" t="s">
        <v>53</v>
      </c>
      <c r="G106" s="45"/>
      <c r="H106" s="45"/>
      <c r="I106" s="45"/>
      <c r="J106" s="45"/>
      <c r="K106" s="45"/>
      <c r="L106" s="53"/>
      <c r="M106" s="53"/>
    </row>
    <row r="107" spans="1:13" ht="18" customHeight="1" x14ac:dyDescent="0.25">
      <c r="A107" s="45"/>
      <c r="B107" s="1726" t="s">
        <v>1020</v>
      </c>
      <c r="C107" s="1726"/>
      <c r="D107" s="1726"/>
      <c r="E107" s="1726"/>
      <c r="F107" s="661" t="s">
        <v>53</v>
      </c>
      <c r="G107" s="45"/>
      <c r="H107" s="45"/>
      <c r="I107" s="45"/>
      <c r="J107" s="45"/>
      <c r="K107" s="45"/>
      <c r="L107" s="53"/>
      <c r="M107" s="53"/>
    </row>
    <row r="108" spans="1:13" ht="18" customHeight="1" x14ac:dyDescent="0.25">
      <c r="A108" s="45"/>
      <c r="B108" s="1726" t="s">
        <v>1021</v>
      </c>
      <c r="C108" s="1726"/>
      <c r="D108" s="1726"/>
      <c r="E108" s="1726"/>
      <c r="F108" s="661" t="s">
        <v>53</v>
      </c>
      <c r="G108" s="45"/>
      <c r="H108" s="45"/>
      <c r="I108" s="45"/>
      <c r="J108" s="45"/>
      <c r="K108" s="45"/>
      <c r="L108" s="53"/>
      <c r="M108" s="53"/>
    </row>
    <row r="109" spans="1:13" ht="18" customHeight="1" x14ac:dyDescent="0.25">
      <c r="A109" s="45"/>
      <c r="B109" s="1726" t="s">
        <v>1022</v>
      </c>
      <c r="C109" s="1726"/>
      <c r="D109" s="1726"/>
      <c r="E109" s="1726"/>
      <c r="F109" s="661" t="s">
        <v>53</v>
      </c>
      <c r="G109" s="45"/>
      <c r="H109" s="45"/>
      <c r="I109" s="45"/>
      <c r="J109" s="45"/>
      <c r="K109" s="45"/>
      <c r="L109" s="53"/>
      <c r="M109" s="53"/>
    </row>
    <row r="110" spans="1:13" ht="18" customHeight="1" x14ac:dyDescent="0.25">
      <c r="A110" s="45"/>
      <c r="B110" s="46"/>
      <c r="C110" s="46"/>
      <c r="D110" s="46"/>
      <c r="E110" s="46"/>
      <c r="F110" s="45"/>
      <c r="G110" s="45"/>
      <c r="H110" s="45"/>
      <c r="I110" s="45"/>
      <c r="J110" s="45"/>
      <c r="K110" s="45"/>
    </row>
    <row r="111" spans="1:13" ht="18" customHeight="1" x14ac:dyDescent="0.25">
      <c r="A111" s="45"/>
      <c r="B111" s="2439" t="s">
        <v>1013</v>
      </c>
      <c r="C111" s="2439"/>
      <c r="D111" s="2439"/>
      <c r="E111" s="144" t="str">
        <f>IF(AND(F103="Yes",COUNTIF(F106:F109,"Yes")=4),"Yes","No")</f>
        <v>No</v>
      </c>
      <c r="F111" s="45"/>
      <c r="G111" s="45"/>
      <c r="H111" s="45"/>
      <c r="I111" s="45"/>
      <c r="J111" s="45"/>
      <c r="K111" s="45"/>
    </row>
    <row r="112" spans="1:13" ht="18.75" customHeight="1" x14ac:dyDescent="0.25">
      <c r="A112" s="45"/>
      <c r="B112" s="46"/>
      <c r="C112" s="46"/>
      <c r="D112" s="46"/>
      <c r="E112" s="45"/>
      <c r="F112" s="45"/>
      <c r="G112" s="45"/>
      <c r="H112" s="45"/>
      <c r="I112" s="45"/>
      <c r="J112" s="45"/>
      <c r="K112" s="45"/>
    </row>
    <row r="113" spans="1:13" ht="16.5" customHeight="1" x14ac:dyDescent="0.25">
      <c r="A113" s="2468" t="s">
        <v>84</v>
      </c>
      <c r="B113" s="2468"/>
      <c r="C113" s="2468"/>
      <c r="D113" s="46"/>
      <c r="E113" s="46"/>
      <c r="F113" s="45"/>
      <c r="G113" s="45"/>
      <c r="H113" s="45"/>
      <c r="I113" s="45"/>
      <c r="J113" s="45"/>
      <c r="K113" s="45"/>
    </row>
    <row r="114" spans="1:13" x14ac:dyDescent="0.25">
      <c r="A114" s="45"/>
      <c r="B114" s="46"/>
      <c r="C114" s="46"/>
      <c r="D114" s="46"/>
      <c r="E114" s="45"/>
      <c r="F114" s="45"/>
      <c r="G114" s="45"/>
      <c r="H114" s="45"/>
      <c r="I114" s="45"/>
      <c r="J114" s="45"/>
      <c r="K114" s="45"/>
    </row>
    <row r="115" spans="1:13" ht="21" customHeight="1" x14ac:dyDescent="0.25">
      <c r="A115" s="45"/>
      <c r="B115" s="2419" t="s">
        <v>85</v>
      </c>
      <c r="C115" s="2420"/>
      <c r="D115" s="2420"/>
      <c r="E115" s="2420"/>
      <c r="F115" s="2420"/>
      <c r="G115" s="660" t="s">
        <v>907</v>
      </c>
      <c r="H115" s="2441" t="s">
        <v>908</v>
      </c>
      <c r="I115" s="2442"/>
      <c r="J115" s="45"/>
      <c r="K115" s="45"/>
    </row>
    <row r="116" spans="1:13" ht="27" customHeight="1" x14ac:dyDescent="0.25">
      <c r="A116" s="45"/>
      <c r="B116" s="1648" t="str">
        <f>Submittals!G156</f>
        <v>• Evidence showing that the green awareness campaign is implemented such as photographs, etc.</v>
      </c>
      <c r="C116" s="1649"/>
      <c r="D116" s="1649"/>
      <c r="E116" s="1649"/>
      <c r="F116" s="1650"/>
      <c r="G116" s="664" t="s">
        <v>53</v>
      </c>
      <c r="H116" s="1689"/>
      <c r="I116" s="1690"/>
      <c r="J116" s="45"/>
      <c r="K116" s="45"/>
      <c r="L116" s="35" t="str">
        <f>IF(OR(B116="/",B116="No evidence required at this submission stage"),"Yes",IF(G116="Submitted","Yes","No"))</f>
        <v>No</v>
      </c>
    </row>
    <row r="117" spans="1:13" ht="18" customHeight="1" x14ac:dyDescent="0.25">
      <c r="A117" s="45"/>
      <c r="B117" s="46"/>
      <c r="C117" s="46"/>
      <c r="D117" s="46"/>
      <c r="E117" s="45"/>
      <c r="F117" s="45"/>
      <c r="G117" s="45"/>
      <c r="H117" s="45"/>
      <c r="I117" s="45"/>
      <c r="J117" s="45"/>
      <c r="K117" s="45"/>
    </row>
    <row r="118" spans="1:13" ht="16.5" customHeight="1" x14ac:dyDescent="0.25">
      <c r="A118" s="2468" t="s">
        <v>5</v>
      </c>
      <c r="B118" s="2468"/>
      <c r="C118" s="2468"/>
      <c r="D118" s="46"/>
      <c r="E118" s="46"/>
      <c r="F118" s="45"/>
      <c r="G118" s="45"/>
      <c r="H118" s="45"/>
      <c r="I118" s="45"/>
      <c r="J118" s="45"/>
      <c r="K118" s="45"/>
    </row>
    <row r="119" spans="1:13" ht="16.5" customHeight="1" x14ac:dyDescent="0.25">
      <c r="A119" s="45"/>
      <c r="B119" s="46"/>
      <c r="C119" s="46"/>
      <c r="D119" s="46"/>
      <c r="E119" s="46"/>
      <c r="F119" s="45"/>
      <c r="G119" s="45"/>
      <c r="H119" s="45"/>
      <c r="I119" s="45"/>
      <c r="J119" s="45"/>
      <c r="K119" s="45"/>
    </row>
    <row r="120" spans="1:13" ht="18" customHeight="1" x14ac:dyDescent="0.25">
      <c r="A120" s="45"/>
      <c r="B120" s="143" t="s">
        <v>16</v>
      </c>
      <c r="C120" s="8">
        <f>IF(E111="Yes",1,0)</f>
        <v>0</v>
      </c>
      <c r="D120" s="46"/>
      <c r="E120" s="45"/>
      <c r="F120" s="45"/>
      <c r="G120" s="45"/>
      <c r="H120" s="45"/>
      <c r="I120" s="45"/>
      <c r="J120" s="45"/>
      <c r="K120" s="45"/>
    </row>
    <row r="121" spans="1:13" ht="18" customHeight="1" x14ac:dyDescent="0.25">
      <c r="A121" s="45"/>
      <c r="B121" s="143" t="s">
        <v>133</v>
      </c>
      <c r="C121" s="108" t="str">
        <f>IF(AND(L116="Yes",C120&gt;0),"Yes","No")</f>
        <v>No</v>
      </c>
      <c r="D121" s="46"/>
      <c r="E121" s="46"/>
      <c r="F121" s="45"/>
      <c r="G121" s="45"/>
      <c r="H121" s="45"/>
      <c r="I121" s="45"/>
      <c r="J121" s="45"/>
      <c r="K121" s="45"/>
    </row>
    <row r="122" spans="1:13" ht="19.5" customHeight="1" x14ac:dyDescent="0.25">
      <c r="A122" s="45"/>
      <c r="B122" s="45"/>
      <c r="C122" s="45"/>
      <c r="D122" s="45"/>
      <c r="E122" s="45"/>
      <c r="F122" s="45"/>
      <c r="G122" s="45"/>
      <c r="H122" s="45"/>
      <c r="I122" s="45"/>
      <c r="J122" s="45"/>
      <c r="K122" s="45"/>
      <c r="L122" s="53"/>
      <c r="M122" s="53"/>
    </row>
    <row r="123" spans="1:13" ht="18" hidden="1" customHeight="1" x14ac:dyDescent="0.25">
      <c r="A123" s="45"/>
      <c r="B123" s="45"/>
      <c r="C123" s="45"/>
      <c r="D123" s="45"/>
      <c r="E123" s="45"/>
      <c r="F123" s="45"/>
      <c r="G123" s="45"/>
      <c r="H123" s="45"/>
      <c r="I123" s="45"/>
      <c r="J123" s="45"/>
      <c r="K123" s="45"/>
      <c r="L123" s="53"/>
      <c r="M123" s="53"/>
    </row>
    <row r="124" spans="1:13" ht="15" hidden="1" customHeight="1" x14ac:dyDescent="0.25"/>
    <row r="125" spans="1:13" ht="15" hidden="1" customHeight="1" x14ac:dyDescent="0.25"/>
    <row r="126" spans="1:13" ht="15" hidden="1" customHeight="1" x14ac:dyDescent="0.25"/>
    <row r="127" spans="1:13" ht="15" hidden="1" customHeight="1" x14ac:dyDescent="0.25"/>
    <row r="128" spans="1:13" ht="15" hidden="1" customHeight="1" x14ac:dyDescent="0.25"/>
    <row r="129" ht="15" hidden="1" customHeight="1" x14ac:dyDescent="0.25"/>
    <row r="130" ht="15" hidden="1" customHeight="1" x14ac:dyDescent="0.25"/>
    <row r="131" ht="15" hidden="1" customHeight="1" x14ac:dyDescent="0.25"/>
    <row r="132" ht="15" hidden="1" customHeight="1" x14ac:dyDescent="0.25"/>
  </sheetData>
  <sheetProtection algorithmName="SHA-512" hashValue="TBuAfqVB7VubOiOjqWUQQdpbvd61s8YdKEHGtLZ9LFFxoBmsWzRn9PPaQhSyTkwj/foH9xaey7TyfFC2pEl6Aw==" saltValue="cBzpZe+OOUWJxTRv/+4Nrg==" spinCount="100000" sheet="1" objects="1" scenarios="1" formatRows="0"/>
  <mergeCells count="72">
    <mergeCell ref="B97:I97"/>
    <mergeCell ref="B98:I98"/>
    <mergeCell ref="B99:I99"/>
    <mergeCell ref="B103:E103"/>
    <mergeCell ref="B105:F105"/>
    <mergeCell ref="B69:F69"/>
    <mergeCell ref="B70:E70"/>
    <mergeCell ref="B67:E67"/>
    <mergeCell ref="B61:H61"/>
    <mergeCell ref="B62:H62"/>
    <mergeCell ref="B63:H63"/>
    <mergeCell ref="B106:E106"/>
    <mergeCell ref="B108:E108"/>
    <mergeCell ref="A118:C118"/>
    <mergeCell ref="B109:E109"/>
    <mergeCell ref="B111:D111"/>
    <mergeCell ref="A113:C113"/>
    <mergeCell ref="B116:F116"/>
    <mergeCell ref="B115:F115"/>
    <mergeCell ref="B107:E107"/>
    <mergeCell ref="A86:C86"/>
    <mergeCell ref="A91:K91"/>
    <mergeCell ref="A93:C93"/>
    <mergeCell ref="B83:F83"/>
    <mergeCell ref="B82:F82"/>
    <mergeCell ref="H82:I82"/>
    <mergeCell ref="H83:I83"/>
    <mergeCell ref="B84:F84"/>
    <mergeCell ref="H84:I84"/>
    <mergeCell ref="B78:D78"/>
    <mergeCell ref="A80:C80"/>
    <mergeCell ref="B71:E71"/>
    <mergeCell ref="B72:E72"/>
    <mergeCell ref="B73:E73"/>
    <mergeCell ref="B74:E74"/>
    <mergeCell ref="B75:E75"/>
    <mergeCell ref="B76:E76"/>
    <mergeCell ref="B40:E40"/>
    <mergeCell ref="A45:C45"/>
    <mergeCell ref="A55:K55"/>
    <mergeCell ref="A57:C57"/>
    <mergeCell ref="A50:C50"/>
    <mergeCell ref="B43:D43"/>
    <mergeCell ref="B48:F48"/>
    <mergeCell ref="B47:F47"/>
    <mergeCell ref="H47:I47"/>
    <mergeCell ref="H48:I48"/>
    <mergeCell ref="B14:E14"/>
    <mergeCell ref="B37:E37"/>
    <mergeCell ref="B38:E38"/>
    <mergeCell ref="B39:E39"/>
    <mergeCell ref="B15:E15"/>
    <mergeCell ref="A19:C19"/>
    <mergeCell ref="B30:E30"/>
    <mergeCell ref="B24:I26"/>
    <mergeCell ref="B23:I23"/>
    <mergeCell ref="H115:I115"/>
    <mergeCell ref="H116:I116"/>
    <mergeCell ref="A1:K1"/>
    <mergeCell ref="H2:I4"/>
    <mergeCell ref="B34:E34"/>
    <mergeCell ref="B35:E35"/>
    <mergeCell ref="B36:E36"/>
    <mergeCell ref="B32:F32"/>
    <mergeCell ref="B41:E41"/>
    <mergeCell ref="A5:K7"/>
    <mergeCell ref="B11:E11"/>
    <mergeCell ref="B12:E12"/>
    <mergeCell ref="B33:E33"/>
    <mergeCell ref="A17:K17"/>
    <mergeCell ref="A9:K9"/>
    <mergeCell ref="B13:E13"/>
  </mergeCells>
  <conditionalFormatting sqref="G48:H48">
    <cfRule type="expression" dxfId="31" priority="9">
      <formula>$B48="No evidence required at this submission stage"</formula>
    </cfRule>
    <cfRule type="expression" dxfId="30" priority="10">
      <formula>$B48="/"</formula>
    </cfRule>
  </conditionalFormatting>
  <conditionalFormatting sqref="G83:H84">
    <cfRule type="expression" dxfId="29" priority="3">
      <formula>$B83="No evidence required at this submission stage"</formula>
    </cfRule>
    <cfRule type="expression" dxfId="28" priority="4">
      <formula>$B83="/"</formula>
    </cfRule>
  </conditionalFormatting>
  <conditionalFormatting sqref="G116:H116">
    <cfRule type="expression" dxfId="27" priority="1">
      <formula>$B116="No evidence required at this submission stage"</formula>
    </cfRule>
    <cfRule type="expression" dxfId="26" priority="2">
      <formula>$B116="/"</formula>
    </cfRule>
  </conditionalFormatting>
  <dataValidations count="2">
    <dataValidation type="list" allowBlank="1" showInputMessage="1" showErrorMessage="1" sqref="G48 G116 G83:G84" xr:uid="{00000000-0002-0000-3100-000000000000}">
      <formula1>"Select,Submitted,Not submitted"</formula1>
    </dataValidation>
    <dataValidation type="list" allowBlank="1" showInputMessage="1" showErrorMessage="1" sqref="F33:F41 F30 F70:F76 F67 F103 F106:F109" xr:uid="{00000000-0002-0000-3100-000001000000}">
      <formula1>"Select,Yes,No"</formula1>
    </dataValidation>
  </dataValidations>
  <hyperlinks>
    <hyperlink ref="K3" location="'Man BPC'!B3" tooltip="Man-BPC" display="Man-BPC" xr:uid="{00000000-0004-0000-3100-000000000000}"/>
    <hyperlink ref="J3" location="'Man-2 Commissioning'!B3" tooltip="Man-2" display="Man-2" xr:uid="{00000000-0004-0000-3100-000001000000}"/>
    <hyperlink ref="J2" location="'Man-1 Construction Stage'!B3" tooltip="Man-1" display="Man-1" xr:uid="{00000000-0004-0000-3100-000002000000}"/>
    <hyperlink ref="J4" location="'Man-3 Maintenance'!B3" tooltip="Man-3" display="Man-3" xr:uid="{00000000-0004-0000-3100-000003000000}"/>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R133"/>
  <sheetViews>
    <sheetView showRowColHeaders="0" zoomScaleNormal="100" workbookViewId="0">
      <pane ySplit="5" topLeftCell="A6" activePane="bottomLeft" state="frozen"/>
      <selection activeCell="E12" sqref="E12:F12"/>
      <selection pane="bottomLeft" sqref="A1:I1"/>
    </sheetView>
  </sheetViews>
  <sheetFormatPr defaultColWidth="0" defaultRowHeight="15" zeroHeight="1" x14ac:dyDescent="0.25"/>
  <cols>
    <col min="1" max="1" width="4.5703125" style="154" customWidth="1"/>
    <col min="2" max="2" width="8.5703125" style="154" customWidth="1"/>
    <col min="3" max="4" width="10.7109375" style="154" customWidth="1"/>
    <col min="5" max="5" width="11.7109375" style="154" customWidth="1"/>
    <col min="6" max="6" width="11.42578125" style="154" customWidth="1"/>
    <col min="7" max="7" width="10.28515625" style="154" customWidth="1"/>
    <col min="8" max="9" width="10.7109375" style="154" customWidth="1"/>
    <col min="10" max="10" width="15.28515625" style="154" customWidth="1"/>
    <col min="11" max="11" width="13" style="154" customWidth="1"/>
    <col min="12" max="12" width="13.140625" style="154" customWidth="1"/>
    <col min="13" max="14" width="13.5703125" style="154" customWidth="1"/>
    <col min="15" max="15" width="11.7109375" style="154" customWidth="1"/>
    <col min="16" max="16" width="0" style="154" hidden="1" customWidth="1"/>
    <col min="17" max="16384" width="9.140625" style="154" hidden="1"/>
  </cols>
  <sheetData>
    <row r="1" spans="1:16" ht="30" customHeight="1" x14ac:dyDescent="0.25">
      <c r="A1" s="1389" t="s">
        <v>244</v>
      </c>
      <c r="B1" s="1390"/>
      <c r="C1" s="1390"/>
      <c r="D1" s="1390"/>
      <c r="E1" s="1390"/>
      <c r="F1" s="1390"/>
      <c r="G1" s="1390"/>
      <c r="H1" s="1390"/>
      <c r="I1" s="1390"/>
      <c r="J1" s="1409" t="s">
        <v>525</v>
      </c>
      <c r="K1" s="1409"/>
      <c r="L1" s="1409"/>
      <c r="M1" s="1409"/>
      <c r="N1" s="1409"/>
      <c r="O1" s="1409"/>
      <c r="P1" s="153"/>
    </row>
    <row r="2" spans="1:16" ht="18" customHeight="1" x14ac:dyDescent="0.3">
      <c r="A2" s="962"/>
      <c r="B2" s="1391" t="s">
        <v>126</v>
      </c>
      <c r="C2" s="1391"/>
      <c r="D2" s="1391"/>
      <c r="E2" s="1391"/>
      <c r="F2" s="962"/>
      <c r="G2" s="962"/>
      <c r="H2" s="962"/>
      <c r="I2" s="962"/>
      <c r="J2" s="1394"/>
      <c r="K2" s="1394"/>
      <c r="L2" s="963"/>
      <c r="M2" s="963"/>
      <c r="N2" s="963"/>
      <c r="O2" s="962"/>
      <c r="P2" s="153"/>
    </row>
    <row r="3" spans="1:16" s="583" customFormat="1" ht="18" customHeight="1" x14ac:dyDescent="0.3">
      <c r="A3" s="962"/>
      <c r="B3" s="1391" t="s">
        <v>246</v>
      </c>
      <c r="C3" s="1391"/>
      <c r="D3" s="1391"/>
      <c r="E3" s="1391"/>
      <c r="F3" s="962"/>
      <c r="G3" s="962"/>
      <c r="H3" s="962"/>
      <c r="I3" s="962"/>
      <c r="J3" s="1410"/>
      <c r="K3" s="1410"/>
      <c r="L3" s="963"/>
      <c r="M3" s="963"/>
      <c r="N3" s="963"/>
      <c r="O3" s="962"/>
      <c r="P3" s="582"/>
    </row>
    <row r="4" spans="1:16" s="583" customFormat="1" ht="18" customHeight="1" x14ac:dyDescent="0.3">
      <c r="A4" s="962"/>
      <c r="B4" s="1391" t="s">
        <v>524</v>
      </c>
      <c r="C4" s="1391"/>
      <c r="D4" s="1391"/>
      <c r="E4" s="1391"/>
      <c r="F4" s="962"/>
      <c r="G4" s="962"/>
      <c r="H4" s="962"/>
      <c r="I4" s="962"/>
      <c r="J4" s="1410"/>
      <c r="K4" s="1410"/>
      <c r="L4" s="962"/>
      <c r="M4" s="962"/>
      <c r="N4" s="962"/>
      <c r="O4" s="962"/>
      <c r="P4" s="582"/>
    </row>
    <row r="5" spans="1:16" s="583" customFormat="1" ht="9.75" customHeight="1" x14ac:dyDescent="0.25">
      <c r="A5" s="962"/>
      <c r="B5" s="962"/>
      <c r="C5" s="962"/>
      <c r="D5" s="962"/>
      <c r="E5" s="962"/>
      <c r="F5" s="962"/>
      <c r="G5" s="962"/>
      <c r="H5" s="962"/>
      <c r="I5" s="962"/>
      <c r="J5" s="962"/>
      <c r="K5" s="962"/>
      <c r="L5" s="962"/>
      <c r="M5" s="962"/>
      <c r="N5" s="962"/>
      <c r="O5" s="962"/>
      <c r="P5" s="582"/>
    </row>
    <row r="6" spans="1:16" ht="12" customHeight="1" x14ac:dyDescent="0.35">
      <c r="A6" s="395"/>
      <c r="B6" s="397"/>
      <c r="C6" s="398"/>
      <c r="D6" s="398"/>
      <c r="E6" s="398"/>
      <c r="F6" s="398"/>
      <c r="G6" s="395"/>
      <c r="H6" s="395"/>
      <c r="I6" s="395"/>
      <c r="J6" s="395"/>
      <c r="K6" s="395"/>
      <c r="L6" s="395"/>
      <c r="M6" s="395"/>
      <c r="N6" s="395"/>
      <c r="O6" s="395"/>
      <c r="P6" s="153"/>
    </row>
    <row r="7" spans="1:16" ht="21" x14ac:dyDescent="0.35">
      <c r="A7" s="395"/>
      <c r="B7" s="1399" t="s">
        <v>126</v>
      </c>
      <c r="C7" s="1399"/>
      <c r="D7" s="1399"/>
      <c r="E7" s="398"/>
      <c r="F7" s="398"/>
      <c r="G7" s="395"/>
      <c r="H7" s="395"/>
      <c r="I7" s="395"/>
      <c r="J7" s="395"/>
      <c r="K7" s="395"/>
      <c r="L7" s="395"/>
      <c r="M7" s="395"/>
      <c r="N7" s="395"/>
      <c r="O7" s="395"/>
      <c r="P7" s="153"/>
    </row>
    <row r="8" spans="1:16" ht="9" customHeight="1" x14ac:dyDescent="0.35">
      <c r="A8" s="395"/>
      <c r="B8" s="397"/>
      <c r="C8" s="398"/>
      <c r="D8" s="398"/>
      <c r="E8" s="398"/>
      <c r="F8" s="398"/>
      <c r="G8" s="395"/>
      <c r="H8" s="395"/>
      <c r="I8" s="395"/>
      <c r="J8" s="395"/>
      <c r="K8" s="395"/>
      <c r="L8" s="395"/>
      <c r="M8" s="395"/>
      <c r="N8" s="395"/>
      <c r="O8" s="395"/>
      <c r="P8" s="153"/>
    </row>
    <row r="9" spans="1:16" ht="16.5" customHeight="1" x14ac:dyDescent="0.3">
      <c r="A9" s="395"/>
      <c r="B9" s="399" t="s">
        <v>503</v>
      </c>
      <c r="C9" s="398"/>
      <c r="D9" s="398"/>
      <c r="E9" s="398"/>
      <c r="F9" s="398"/>
      <c r="G9" s="395"/>
      <c r="H9" s="395"/>
      <c r="I9" s="395"/>
      <c r="J9" s="395"/>
      <c r="K9" s="395"/>
      <c r="L9" s="395"/>
      <c r="M9" s="395"/>
      <c r="N9" s="395"/>
      <c r="O9" s="395"/>
      <c r="P9" s="153"/>
    </row>
    <row r="10" spans="1:16" ht="16.5" customHeight="1" x14ac:dyDescent="0.3">
      <c r="A10" s="395"/>
      <c r="B10" s="639" t="s">
        <v>506</v>
      </c>
      <c r="C10" s="398"/>
      <c r="D10" s="398"/>
      <c r="E10" s="398"/>
      <c r="F10" s="398"/>
      <c r="G10" s="395"/>
      <c r="H10" s="395"/>
      <c r="I10" s="395"/>
      <c r="J10" s="395"/>
      <c r="K10" s="395"/>
      <c r="L10" s="395"/>
      <c r="M10" s="395"/>
      <c r="N10" s="395"/>
      <c r="O10" s="395"/>
      <c r="P10" s="153"/>
    </row>
    <row r="11" spans="1:16" ht="16.5" customHeight="1" x14ac:dyDescent="0.3">
      <c r="A11" s="395"/>
      <c r="B11" s="639" t="s">
        <v>504</v>
      </c>
      <c r="C11" s="398"/>
      <c r="D11" s="398"/>
      <c r="E11" s="398"/>
      <c r="F11" s="398"/>
      <c r="G11" s="395"/>
      <c r="H11" s="395"/>
      <c r="I11" s="395"/>
      <c r="J11" s="395"/>
      <c r="K11" s="395"/>
      <c r="L11" s="395"/>
      <c r="M11" s="395"/>
      <c r="N11" s="395"/>
      <c r="O11" s="395"/>
      <c r="P11" s="153"/>
    </row>
    <row r="12" spans="1:16" ht="16.5" customHeight="1" x14ac:dyDescent="0.3">
      <c r="A12" s="395"/>
      <c r="B12" s="639" t="s">
        <v>505</v>
      </c>
      <c r="C12" s="398"/>
      <c r="D12" s="398"/>
      <c r="E12" s="398"/>
      <c r="F12" s="398"/>
      <c r="G12" s="395"/>
      <c r="H12" s="395"/>
      <c r="I12" s="395"/>
      <c r="J12" s="395"/>
      <c r="K12" s="395"/>
      <c r="L12" s="395"/>
      <c r="M12" s="395"/>
      <c r="N12" s="395"/>
      <c r="O12" s="395"/>
      <c r="P12" s="153"/>
    </row>
    <row r="13" spans="1:16" ht="16.5" customHeight="1" x14ac:dyDescent="0.3">
      <c r="A13" s="395"/>
      <c r="B13" s="639" t="s">
        <v>1512</v>
      </c>
      <c r="C13" s="398"/>
      <c r="D13" s="398"/>
      <c r="E13" s="398"/>
      <c r="F13" s="398"/>
      <c r="G13" s="395"/>
      <c r="H13" s="395"/>
      <c r="I13" s="395"/>
      <c r="J13" s="395"/>
      <c r="K13" s="395"/>
      <c r="L13" s="395"/>
      <c r="M13" s="395"/>
      <c r="N13" s="395"/>
      <c r="O13" s="395"/>
      <c r="P13" s="153"/>
    </row>
    <row r="14" spans="1:16" ht="12" customHeight="1" x14ac:dyDescent="0.3">
      <c r="A14" s="395"/>
      <c r="B14" s="400"/>
      <c r="C14" s="398"/>
      <c r="D14" s="398"/>
      <c r="E14" s="398"/>
      <c r="F14" s="398"/>
      <c r="G14" s="395"/>
      <c r="H14" s="395"/>
      <c r="I14" s="395"/>
      <c r="J14" s="395"/>
      <c r="K14" s="395"/>
      <c r="L14" s="395"/>
      <c r="M14" s="395"/>
      <c r="N14" s="395"/>
      <c r="O14" s="395"/>
      <c r="P14" s="153"/>
    </row>
    <row r="15" spans="1:16" ht="21" x14ac:dyDescent="0.35">
      <c r="A15" s="395"/>
      <c r="B15" s="1399" t="s">
        <v>273</v>
      </c>
      <c r="C15" s="1399"/>
      <c r="D15" s="1399"/>
      <c r="E15" s="401"/>
      <c r="F15" s="401"/>
      <c r="G15" s="401"/>
      <c r="H15" s="401"/>
      <c r="I15" s="401"/>
      <c r="J15" s="401"/>
      <c r="K15" s="401"/>
      <c r="L15" s="395"/>
      <c r="M15" s="402"/>
      <c r="N15" s="402"/>
      <c r="O15" s="402"/>
      <c r="P15" s="153"/>
    </row>
    <row r="16" spans="1:16" ht="9" customHeight="1" x14ac:dyDescent="0.3">
      <c r="A16" s="395"/>
      <c r="B16" s="403"/>
      <c r="C16" s="401"/>
      <c r="D16" s="401"/>
      <c r="E16" s="401"/>
      <c r="F16" s="401"/>
      <c r="G16" s="401"/>
      <c r="H16" s="401"/>
      <c r="I16" s="401"/>
      <c r="J16" s="401"/>
      <c r="K16" s="401"/>
      <c r="L16" s="395"/>
      <c r="M16" s="402"/>
      <c r="N16" s="402"/>
      <c r="O16" s="402"/>
      <c r="P16" s="153"/>
    </row>
    <row r="17" spans="1:18" ht="15" customHeight="1" x14ac:dyDescent="0.25">
      <c r="A17" s="395"/>
      <c r="B17" s="1411" t="s">
        <v>502</v>
      </c>
      <c r="C17" s="1412"/>
      <c r="D17" s="1412"/>
      <c r="E17" s="1412"/>
      <c r="F17" s="1412"/>
      <c r="G17" s="1412"/>
      <c r="H17" s="1412"/>
      <c r="I17" s="1412"/>
      <c r="J17" s="1412"/>
      <c r="K17" s="1413"/>
      <c r="L17" s="395"/>
      <c r="M17" s="402"/>
      <c r="N17" s="402"/>
      <c r="O17" s="402"/>
      <c r="P17" s="153"/>
    </row>
    <row r="18" spans="1:18" ht="16.5" customHeight="1" x14ac:dyDescent="0.25">
      <c r="A18" s="395"/>
      <c r="B18" s="1414" t="s">
        <v>523</v>
      </c>
      <c r="C18" s="1415"/>
      <c r="D18" s="1415"/>
      <c r="E18" s="1415"/>
      <c r="F18" s="1415"/>
      <c r="G18" s="1415"/>
      <c r="H18" s="1415"/>
      <c r="I18" s="1415"/>
      <c r="J18" s="1415"/>
      <c r="K18" s="1416"/>
      <c r="L18" s="395"/>
      <c r="M18" s="395"/>
      <c r="N18" s="395"/>
      <c r="O18" s="395"/>
      <c r="P18" s="153"/>
    </row>
    <row r="19" spans="1:18" ht="16.5" customHeight="1" x14ac:dyDescent="0.25">
      <c r="A19" s="395"/>
      <c r="B19" s="1414" t="s">
        <v>245</v>
      </c>
      <c r="C19" s="1415"/>
      <c r="D19" s="1415"/>
      <c r="E19" s="1415"/>
      <c r="F19" s="1415"/>
      <c r="G19" s="1415"/>
      <c r="H19" s="1415"/>
      <c r="I19" s="1415"/>
      <c r="J19" s="1415"/>
      <c r="K19" s="1416"/>
      <c r="L19" s="395"/>
      <c r="M19" s="395"/>
      <c r="N19" s="395"/>
      <c r="O19" s="395"/>
      <c r="P19" s="153"/>
    </row>
    <row r="20" spans="1:18" ht="16.5" customHeight="1" x14ac:dyDescent="0.25">
      <c r="A20" s="395"/>
      <c r="B20" s="1414" t="s">
        <v>1510</v>
      </c>
      <c r="C20" s="1415"/>
      <c r="D20" s="1415"/>
      <c r="E20" s="1415"/>
      <c r="F20" s="1415"/>
      <c r="G20" s="1415"/>
      <c r="H20" s="1415"/>
      <c r="I20" s="1415"/>
      <c r="J20" s="1415"/>
      <c r="K20" s="1416"/>
      <c r="L20" s="395"/>
      <c r="M20" s="395"/>
      <c r="N20" s="395"/>
      <c r="O20" s="395"/>
      <c r="P20" s="153"/>
    </row>
    <row r="21" spans="1:18" ht="16.5" customHeight="1" x14ac:dyDescent="0.25">
      <c r="A21" s="395"/>
      <c r="B21" s="1417" t="s">
        <v>1511</v>
      </c>
      <c r="C21" s="1418"/>
      <c r="D21" s="1418"/>
      <c r="E21" s="1418"/>
      <c r="F21" s="1418"/>
      <c r="G21" s="1418"/>
      <c r="H21" s="1418"/>
      <c r="I21" s="1418"/>
      <c r="J21" s="1418"/>
      <c r="K21" s="1419"/>
      <c r="L21" s="395"/>
      <c r="M21" s="395"/>
      <c r="N21" s="395"/>
      <c r="O21" s="395"/>
      <c r="P21" s="153"/>
    </row>
    <row r="22" spans="1:18" ht="9" customHeight="1" x14ac:dyDescent="0.25">
      <c r="A22" s="395"/>
      <c r="B22" s="395"/>
      <c r="C22" s="449"/>
      <c r="D22" s="449"/>
      <c r="E22" s="449"/>
      <c r="F22" s="449"/>
      <c r="G22" s="449"/>
      <c r="H22" s="449"/>
      <c r="I22" s="449"/>
      <c r="J22" s="449"/>
      <c r="K22" s="449"/>
      <c r="L22" s="449"/>
      <c r="M22" s="395"/>
      <c r="N22" s="395"/>
      <c r="O22" s="395"/>
      <c r="P22" s="153"/>
    </row>
    <row r="23" spans="1:18" ht="16.5" customHeight="1" x14ac:dyDescent="0.25">
      <c r="A23" s="395"/>
      <c r="B23" s="455" t="s">
        <v>636</v>
      </c>
      <c r="C23" s="454"/>
      <c r="D23" s="449"/>
      <c r="E23" s="449"/>
      <c r="F23" s="449"/>
      <c r="G23" s="449"/>
      <c r="H23" s="449"/>
      <c r="I23" s="449"/>
      <c r="J23" s="449"/>
      <c r="K23" s="449"/>
      <c r="L23" s="395"/>
      <c r="M23" s="395"/>
      <c r="N23" s="395"/>
      <c r="O23" s="395"/>
    </row>
    <row r="24" spans="1:18" ht="16.5" customHeight="1" x14ac:dyDescent="0.25">
      <c r="A24" s="395"/>
      <c r="B24" s="1404" t="s">
        <v>633</v>
      </c>
      <c r="C24" s="1400"/>
      <c r="D24" s="1400" t="s">
        <v>195</v>
      </c>
      <c r="E24" s="1400"/>
      <c r="F24" s="1400" t="s">
        <v>634</v>
      </c>
      <c r="G24" s="1400" t="s">
        <v>634</v>
      </c>
      <c r="H24" s="1400" t="s">
        <v>395</v>
      </c>
      <c r="I24" s="1400" t="s">
        <v>634</v>
      </c>
      <c r="J24" s="1400" t="s">
        <v>635</v>
      </c>
      <c r="K24" s="1401"/>
      <c r="L24" s="449"/>
      <c r="M24" s="449"/>
      <c r="N24" s="449"/>
      <c r="O24" s="395"/>
      <c r="P24" s="395"/>
      <c r="Q24" s="395"/>
      <c r="R24" s="153"/>
    </row>
    <row r="25" spans="1:18" ht="42" customHeight="1" x14ac:dyDescent="0.25">
      <c r="A25" s="395"/>
      <c r="B25" s="1405"/>
      <c r="C25" s="1406"/>
      <c r="D25" s="1405"/>
      <c r="E25" s="1406"/>
      <c r="F25" s="1405"/>
      <c r="G25" s="1406"/>
      <c r="H25" s="1402"/>
      <c r="I25" s="1407"/>
      <c r="J25" s="1402"/>
      <c r="K25" s="1403"/>
      <c r="L25" s="449"/>
      <c r="M25" s="449"/>
      <c r="N25" s="449"/>
      <c r="O25" s="395"/>
      <c r="P25" s="395"/>
      <c r="Q25" s="395"/>
      <c r="R25" s="153"/>
    </row>
    <row r="26" spans="1:18" ht="9" customHeight="1" x14ac:dyDescent="0.25">
      <c r="A26" s="395"/>
      <c r="B26" s="449"/>
      <c r="C26" s="449"/>
      <c r="D26" s="449"/>
      <c r="E26" s="449"/>
      <c r="F26" s="449"/>
      <c r="G26" s="449"/>
      <c r="H26" s="449"/>
      <c r="I26" s="449"/>
      <c r="J26" s="449"/>
      <c r="K26" s="449"/>
      <c r="L26" s="449"/>
      <c r="M26" s="395"/>
      <c r="N26" s="395"/>
      <c r="O26" s="395"/>
      <c r="P26" s="153"/>
    </row>
    <row r="27" spans="1:18" ht="9" customHeight="1" x14ac:dyDescent="0.3">
      <c r="A27" s="395"/>
      <c r="B27" s="399"/>
      <c r="C27" s="398"/>
      <c r="D27" s="398"/>
      <c r="E27" s="398"/>
      <c r="F27" s="398"/>
      <c r="G27" s="395"/>
      <c r="H27" s="395"/>
      <c r="I27" s="395"/>
      <c r="J27" s="395"/>
      <c r="K27" s="395"/>
      <c r="L27" s="395"/>
      <c r="M27" s="395"/>
      <c r="N27" s="395"/>
      <c r="O27" s="395"/>
      <c r="P27" s="153"/>
    </row>
    <row r="28" spans="1:18" ht="9" customHeight="1" x14ac:dyDescent="0.3">
      <c r="A28" s="395"/>
      <c r="B28" s="399"/>
      <c r="C28" s="398"/>
      <c r="D28" s="398"/>
      <c r="E28" s="398"/>
      <c r="F28" s="398"/>
      <c r="G28" s="395"/>
      <c r="H28" s="395"/>
      <c r="I28" s="395"/>
      <c r="J28" s="395"/>
      <c r="K28" s="395"/>
      <c r="L28" s="395"/>
      <c r="M28" s="395"/>
      <c r="N28" s="395"/>
      <c r="O28" s="395"/>
      <c r="P28" s="153"/>
    </row>
    <row r="29" spans="1:18" ht="15" customHeight="1" x14ac:dyDescent="0.3">
      <c r="A29" s="395"/>
      <c r="B29" s="399"/>
      <c r="C29" s="398"/>
      <c r="D29" s="398"/>
      <c r="E29" s="398"/>
      <c r="F29" s="398"/>
      <c r="G29" s="395"/>
      <c r="H29" s="395"/>
      <c r="I29" s="395"/>
      <c r="J29" s="395"/>
      <c r="K29" s="395"/>
      <c r="L29" s="395"/>
      <c r="M29" s="395"/>
      <c r="N29" s="395"/>
      <c r="O29" s="395"/>
      <c r="P29" s="153"/>
    </row>
    <row r="30" spans="1:18" ht="15" customHeight="1" x14ac:dyDescent="0.3">
      <c r="A30" s="395"/>
      <c r="B30" s="399"/>
      <c r="C30" s="398"/>
      <c r="D30" s="398"/>
      <c r="E30" s="398"/>
      <c r="F30" s="398"/>
      <c r="G30" s="395"/>
      <c r="H30" s="395"/>
      <c r="I30" s="395"/>
      <c r="J30" s="395"/>
      <c r="K30" s="395"/>
      <c r="L30" s="395"/>
      <c r="M30" s="395"/>
      <c r="N30" s="395"/>
      <c r="O30" s="395"/>
      <c r="P30" s="153"/>
    </row>
    <row r="31" spans="1:18" ht="15" customHeight="1" x14ac:dyDescent="0.3">
      <c r="A31" s="395"/>
      <c r="B31" s="399"/>
      <c r="C31" s="398"/>
      <c r="D31" s="398"/>
      <c r="E31" s="398"/>
      <c r="F31" s="398"/>
      <c r="G31" s="395"/>
      <c r="H31" s="395"/>
      <c r="I31" s="395"/>
      <c r="J31" s="395"/>
      <c r="K31" s="395"/>
      <c r="L31" s="395"/>
      <c r="M31" s="395"/>
      <c r="N31" s="395"/>
      <c r="O31" s="395"/>
      <c r="P31" s="153"/>
    </row>
    <row r="32" spans="1:18" ht="15" customHeight="1" x14ac:dyDescent="0.3">
      <c r="A32" s="395"/>
      <c r="B32" s="399"/>
      <c r="C32" s="398"/>
      <c r="D32" s="398"/>
      <c r="E32" s="398"/>
      <c r="F32" s="398"/>
      <c r="G32" s="395"/>
      <c r="H32" s="395"/>
      <c r="I32" s="395"/>
      <c r="J32" s="395"/>
      <c r="K32" s="395"/>
      <c r="L32" s="395"/>
      <c r="M32" s="395"/>
      <c r="N32" s="395"/>
      <c r="O32" s="395"/>
      <c r="P32" s="153"/>
    </row>
    <row r="33" spans="1:16" ht="15" customHeight="1" x14ac:dyDescent="0.3">
      <c r="A33" s="395"/>
      <c r="B33" s="399"/>
      <c r="C33" s="398"/>
      <c r="D33" s="398"/>
      <c r="E33" s="398"/>
      <c r="F33" s="398"/>
      <c r="G33" s="395"/>
      <c r="H33" s="395"/>
      <c r="I33" s="395"/>
      <c r="J33" s="395"/>
      <c r="K33" s="395"/>
      <c r="L33" s="395"/>
      <c r="M33" s="395"/>
      <c r="N33" s="395"/>
      <c r="O33" s="395"/>
      <c r="P33" s="153"/>
    </row>
    <row r="34" spans="1:16" ht="15" customHeight="1" x14ac:dyDescent="0.3">
      <c r="A34" s="395"/>
      <c r="B34" s="399"/>
      <c r="C34" s="398"/>
      <c r="D34" s="398"/>
      <c r="E34" s="398"/>
      <c r="F34" s="398"/>
      <c r="G34" s="395"/>
      <c r="H34" s="395"/>
      <c r="I34" s="395"/>
      <c r="J34" s="395"/>
      <c r="K34" s="395"/>
      <c r="L34" s="395"/>
      <c r="M34" s="395"/>
      <c r="N34" s="395"/>
      <c r="O34" s="395"/>
      <c r="P34" s="153"/>
    </row>
    <row r="35" spans="1:16" ht="15" customHeight="1" x14ac:dyDescent="0.3">
      <c r="A35" s="395"/>
      <c r="B35" s="399"/>
      <c r="C35" s="398"/>
      <c r="D35" s="398"/>
      <c r="E35" s="398"/>
      <c r="F35" s="398"/>
      <c r="G35" s="395"/>
      <c r="H35" s="395"/>
      <c r="I35" s="395"/>
      <c r="J35" s="395"/>
      <c r="K35" s="395"/>
      <c r="L35" s="395"/>
      <c r="M35" s="395"/>
      <c r="N35" s="395"/>
      <c r="O35" s="395"/>
      <c r="P35" s="153"/>
    </row>
    <row r="36" spans="1:16" ht="15" customHeight="1" x14ac:dyDescent="0.3">
      <c r="A36" s="395"/>
      <c r="B36" s="399"/>
      <c r="C36" s="398"/>
      <c r="D36" s="398"/>
      <c r="E36" s="398"/>
      <c r="F36" s="398"/>
      <c r="G36" s="395"/>
      <c r="H36" s="395"/>
      <c r="I36" s="395"/>
      <c r="J36" s="395"/>
      <c r="K36" s="395"/>
      <c r="L36" s="395"/>
      <c r="M36" s="395"/>
      <c r="N36" s="395"/>
      <c r="O36" s="395"/>
      <c r="P36" s="153"/>
    </row>
    <row r="37" spans="1:16" ht="15" customHeight="1" x14ac:dyDescent="0.3">
      <c r="A37" s="395"/>
      <c r="B37" s="399"/>
      <c r="C37" s="398"/>
      <c r="D37" s="398"/>
      <c r="E37" s="398"/>
      <c r="F37" s="398"/>
      <c r="G37" s="395"/>
      <c r="H37" s="395"/>
      <c r="I37" s="395"/>
      <c r="J37" s="395"/>
      <c r="K37" s="395"/>
      <c r="L37" s="395"/>
      <c r="M37" s="395"/>
      <c r="N37" s="395"/>
      <c r="O37" s="395"/>
      <c r="P37" s="153"/>
    </row>
    <row r="38" spans="1:16" ht="15" customHeight="1" x14ac:dyDescent="0.3">
      <c r="A38" s="395"/>
      <c r="B38" s="399"/>
      <c r="C38" s="398"/>
      <c r="D38" s="398"/>
      <c r="E38" s="398"/>
      <c r="F38" s="398"/>
      <c r="G38" s="395"/>
      <c r="H38" s="395"/>
      <c r="I38" s="395"/>
      <c r="J38" s="395"/>
      <c r="K38" s="395"/>
      <c r="L38" s="395"/>
      <c r="M38" s="395"/>
      <c r="N38" s="395"/>
      <c r="O38" s="395"/>
      <c r="P38" s="153"/>
    </row>
    <row r="39" spans="1:16" ht="15" customHeight="1" x14ac:dyDescent="0.3">
      <c r="A39" s="395"/>
      <c r="B39" s="399"/>
      <c r="C39" s="398"/>
      <c r="D39" s="398"/>
      <c r="E39" s="398"/>
      <c r="F39" s="398"/>
      <c r="G39" s="395"/>
      <c r="H39" s="395"/>
      <c r="I39" s="395"/>
      <c r="J39" s="395"/>
      <c r="K39" s="395"/>
      <c r="L39" s="395"/>
      <c r="M39" s="395"/>
      <c r="N39" s="395"/>
      <c r="O39" s="395"/>
      <c r="P39" s="153"/>
    </row>
    <row r="40" spans="1:16" ht="15" customHeight="1" x14ac:dyDescent="0.3">
      <c r="A40" s="395"/>
      <c r="B40" s="399"/>
      <c r="C40" s="398"/>
      <c r="D40" s="398"/>
      <c r="E40" s="398"/>
      <c r="F40" s="398"/>
      <c r="G40" s="395"/>
      <c r="H40" s="395"/>
      <c r="I40" s="395"/>
      <c r="J40" s="395"/>
      <c r="K40" s="395"/>
      <c r="L40" s="395"/>
      <c r="M40" s="395"/>
      <c r="N40" s="395"/>
      <c r="O40" s="395"/>
      <c r="P40" s="153"/>
    </row>
    <row r="41" spans="1:16" ht="15" customHeight="1" x14ac:dyDescent="0.3">
      <c r="A41" s="395"/>
      <c r="B41" s="399"/>
      <c r="C41" s="398"/>
      <c r="D41" s="398"/>
      <c r="E41" s="398"/>
      <c r="F41" s="398"/>
      <c r="G41" s="395"/>
      <c r="H41" s="395"/>
      <c r="I41" s="395"/>
      <c r="J41" s="395"/>
      <c r="K41" s="395"/>
      <c r="L41" s="395"/>
      <c r="M41" s="395"/>
      <c r="N41" s="395"/>
      <c r="O41" s="395"/>
      <c r="P41" s="153"/>
    </row>
    <row r="42" spans="1:16" ht="15" customHeight="1" x14ac:dyDescent="0.3">
      <c r="A42" s="395"/>
      <c r="B42" s="399"/>
      <c r="C42" s="398"/>
      <c r="D42" s="398"/>
      <c r="E42" s="398"/>
      <c r="F42" s="398"/>
      <c r="G42" s="395"/>
      <c r="H42" s="395"/>
      <c r="I42" s="395"/>
      <c r="J42" s="395"/>
      <c r="K42" s="395"/>
      <c r="L42" s="395"/>
      <c r="M42" s="395"/>
      <c r="N42" s="395"/>
      <c r="O42" s="395"/>
      <c r="P42" s="153"/>
    </row>
    <row r="43" spans="1:16" ht="15" customHeight="1" x14ac:dyDescent="0.3">
      <c r="A43" s="395"/>
      <c r="B43" s="399"/>
      <c r="C43" s="398"/>
      <c r="D43" s="398"/>
      <c r="E43" s="398"/>
      <c r="F43" s="398"/>
      <c r="G43" s="395"/>
      <c r="H43" s="395"/>
      <c r="I43" s="395"/>
      <c r="J43" s="395"/>
      <c r="K43" s="395"/>
      <c r="L43" s="395"/>
      <c r="M43" s="395"/>
      <c r="N43" s="395"/>
      <c r="O43" s="395"/>
      <c r="P43" s="153"/>
    </row>
    <row r="44" spans="1:16" ht="15" customHeight="1" x14ac:dyDescent="0.3">
      <c r="A44" s="395"/>
      <c r="B44" s="399"/>
      <c r="C44" s="398"/>
      <c r="D44" s="398"/>
      <c r="E44" s="398"/>
      <c r="F44" s="398"/>
      <c r="G44" s="395"/>
      <c r="H44" s="395"/>
      <c r="I44" s="395"/>
      <c r="J44" s="395"/>
      <c r="K44" s="395"/>
      <c r="L44" s="395"/>
      <c r="M44" s="395"/>
      <c r="N44" s="395"/>
      <c r="O44" s="395"/>
      <c r="P44" s="153"/>
    </row>
    <row r="45" spans="1:16" ht="15" customHeight="1" x14ac:dyDescent="0.3">
      <c r="A45" s="395"/>
      <c r="B45" s="399"/>
      <c r="C45" s="398"/>
      <c r="D45" s="398"/>
      <c r="E45" s="398"/>
      <c r="F45" s="398"/>
      <c r="G45" s="395"/>
      <c r="H45" s="395"/>
      <c r="I45" s="395"/>
      <c r="J45" s="395"/>
      <c r="K45" s="395"/>
      <c r="L45" s="395"/>
      <c r="M45" s="395"/>
      <c r="N45" s="395"/>
      <c r="O45" s="395"/>
      <c r="P45" s="153"/>
    </row>
    <row r="46" spans="1:16" ht="15" customHeight="1" x14ac:dyDescent="0.3">
      <c r="A46" s="395"/>
      <c r="B46" s="399"/>
      <c r="C46" s="398"/>
      <c r="D46" s="398"/>
      <c r="E46" s="398"/>
      <c r="F46" s="398"/>
      <c r="G46" s="395"/>
      <c r="H46" s="395"/>
      <c r="I46" s="395"/>
      <c r="J46" s="395"/>
      <c r="K46" s="395"/>
      <c r="L46" s="395"/>
      <c r="M46" s="395"/>
      <c r="N46" s="395"/>
      <c r="O46" s="395"/>
      <c r="P46" s="153"/>
    </row>
    <row r="47" spans="1:16" ht="15" customHeight="1" x14ac:dyDescent="0.3">
      <c r="A47" s="395"/>
      <c r="B47" s="399"/>
      <c r="C47" s="398"/>
      <c r="D47" s="398"/>
      <c r="E47" s="398"/>
      <c r="F47" s="398"/>
      <c r="G47" s="395"/>
      <c r="H47" s="395"/>
      <c r="I47" s="395"/>
      <c r="J47" s="395"/>
      <c r="K47" s="395"/>
      <c r="L47" s="395"/>
      <c r="M47" s="395"/>
      <c r="N47" s="395"/>
      <c r="O47" s="395"/>
      <c r="P47" s="153"/>
    </row>
    <row r="48" spans="1:16" ht="15" customHeight="1" x14ac:dyDescent="0.3">
      <c r="A48" s="395"/>
      <c r="B48" s="399"/>
      <c r="C48" s="398"/>
      <c r="D48" s="398"/>
      <c r="E48" s="398"/>
      <c r="F48" s="398"/>
      <c r="G48" s="395"/>
      <c r="H48" s="395"/>
      <c r="I48" s="395"/>
      <c r="J48" s="395"/>
      <c r="K48" s="395"/>
      <c r="L48" s="395"/>
      <c r="M48" s="395"/>
      <c r="N48" s="395"/>
      <c r="O48" s="395"/>
      <c r="P48" s="153"/>
    </row>
    <row r="49" spans="1:16" ht="15" customHeight="1" x14ac:dyDescent="0.3">
      <c r="A49" s="395"/>
      <c r="B49" s="399"/>
      <c r="C49" s="398"/>
      <c r="D49" s="398"/>
      <c r="E49" s="398"/>
      <c r="F49" s="398"/>
      <c r="G49" s="395"/>
      <c r="H49" s="395"/>
      <c r="I49" s="395"/>
      <c r="J49" s="395"/>
      <c r="K49" s="395"/>
      <c r="L49" s="395"/>
      <c r="M49" s="395"/>
      <c r="N49" s="395"/>
      <c r="O49" s="395"/>
      <c r="P49" s="153"/>
    </row>
    <row r="50" spans="1:16" ht="15" customHeight="1" x14ac:dyDescent="0.3">
      <c r="A50" s="395"/>
      <c r="B50" s="399"/>
      <c r="C50" s="398"/>
      <c r="D50" s="398"/>
      <c r="E50" s="398"/>
      <c r="F50" s="398"/>
      <c r="G50" s="395"/>
      <c r="H50" s="395"/>
      <c r="I50" s="395"/>
      <c r="J50" s="395"/>
      <c r="K50" s="395"/>
      <c r="L50" s="395"/>
      <c r="M50" s="395"/>
      <c r="N50" s="395"/>
      <c r="O50" s="395"/>
      <c r="P50" s="153"/>
    </row>
    <row r="51" spans="1:16" ht="15" customHeight="1" x14ac:dyDescent="0.3">
      <c r="A51" s="395"/>
      <c r="B51" s="399"/>
      <c r="C51" s="398"/>
      <c r="D51" s="398"/>
      <c r="E51" s="398"/>
      <c r="F51" s="398"/>
      <c r="G51" s="395"/>
      <c r="H51" s="395"/>
      <c r="I51" s="395"/>
      <c r="J51" s="395"/>
      <c r="K51" s="395"/>
      <c r="L51" s="395"/>
      <c r="M51" s="395"/>
      <c r="N51" s="395"/>
      <c r="O51" s="395"/>
      <c r="P51" s="153"/>
    </row>
    <row r="52" spans="1:16" ht="15" customHeight="1" x14ac:dyDescent="0.3">
      <c r="A52" s="395"/>
      <c r="B52" s="399"/>
      <c r="C52" s="398"/>
      <c r="D52" s="398"/>
      <c r="E52" s="398"/>
      <c r="F52" s="398"/>
      <c r="G52" s="395"/>
      <c r="H52" s="395"/>
      <c r="I52" s="395"/>
      <c r="J52" s="395"/>
      <c r="K52" s="395"/>
      <c r="L52" s="395"/>
      <c r="M52" s="395"/>
      <c r="N52" s="395"/>
      <c r="O52" s="395"/>
      <c r="P52" s="153"/>
    </row>
    <row r="53" spans="1:16" ht="15" customHeight="1" x14ac:dyDescent="0.3">
      <c r="A53" s="395"/>
      <c r="B53" s="399"/>
      <c r="C53" s="398"/>
      <c r="D53" s="398"/>
      <c r="E53" s="398"/>
      <c r="F53" s="398"/>
      <c r="G53" s="395"/>
      <c r="H53" s="395"/>
      <c r="I53" s="395"/>
      <c r="J53" s="395"/>
      <c r="K53" s="395"/>
      <c r="L53" s="395"/>
      <c r="M53" s="395"/>
      <c r="N53" s="395"/>
      <c r="O53" s="395"/>
      <c r="P53" s="153"/>
    </row>
    <row r="54" spans="1:16" ht="15" customHeight="1" x14ac:dyDescent="0.3">
      <c r="A54" s="395"/>
      <c r="B54" s="399"/>
      <c r="C54" s="398"/>
      <c r="D54" s="398"/>
      <c r="E54" s="398"/>
      <c r="F54" s="398"/>
      <c r="G54" s="395"/>
      <c r="H54" s="395"/>
      <c r="I54" s="395"/>
      <c r="J54" s="395"/>
      <c r="K54" s="395"/>
      <c r="L54" s="395"/>
      <c r="M54" s="395"/>
      <c r="N54" s="395"/>
      <c r="O54" s="395"/>
      <c r="P54" s="153"/>
    </row>
    <row r="55" spans="1:16" ht="15" customHeight="1" x14ac:dyDescent="0.3">
      <c r="A55" s="395"/>
      <c r="B55" s="399"/>
      <c r="C55" s="398"/>
      <c r="D55" s="398"/>
      <c r="E55" s="398"/>
      <c r="F55" s="398"/>
      <c r="G55" s="395"/>
      <c r="H55" s="395"/>
      <c r="I55" s="395"/>
      <c r="J55" s="395"/>
      <c r="K55" s="395"/>
      <c r="L55" s="395"/>
      <c r="M55" s="395"/>
      <c r="N55" s="395"/>
      <c r="O55" s="395"/>
      <c r="P55" s="153"/>
    </row>
    <row r="56" spans="1:16" ht="15" customHeight="1" x14ac:dyDescent="0.3">
      <c r="A56" s="395"/>
      <c r="B56" s="399"/>
      <c r="C56" s="398"/>
      <c r="D56" s="398"/>
      <c r="E56" s="398"/>
      <c r="F56" s="398"/>
      <c r="G56" s="395"/>
      <c r="H56" s="395"/>
      <c r="I56" s="395"/>
      <c r="J56" s="395"/>
      <c r="K56" s="395"/>
      <c r="L56" s="395"/>
      <c r="M56" s="395"/>
      <c r="N56" s="395"/>
      <c r="O56" s="395"/>
      <c r="P56" s="153"/>
    </row>
    <row r="57" spans="1:16" ht="15" customHeight="1" x14ac:dyDescent="0.3">
      <c r="A57" s="395"/>
      <c r="B57" s="399"/>
      <c r="C57" s="398"/>
      <c r="D57" s="398"/>
      <c r="E57" s="398"/>
      <c r="F57" s="398"/>
      <c r="G57" s="395"/>
      <c r="H57" s="395"/>
      <c r="I57" s="395"/>
      <c r="J57" s="395"/>
      <c r="K57" s="395"/>
      <c r="L57" s="395"/>
      <c r="M57" s="395"/>
      <c r="N57" s="395"/>
      <c r="O57" s="395"/>
      <c r="P57" s="153"/>
    </row>
    <row r="58" spans="1:16" ht="15" customHeight="1" x14ac:dyDescent="0.3">
      <c r="A58" s="395"/>
      <c r="B58" s="399"/>
      <c r="C58" s="398"/>
      <c r="D58" s="398"/>
      <c r="E58" s="398"/>
      <c r="F58" s="398"/>
      <c r="G58" s="395"/>
      <c r="H58" s="395"/>
      <c r="I58" s="395"/>
      <c r="J58" s="395"/>
      <c r="K58" s="395"/>
      <c r="L58" s="395"/>
      <c r="M58" s="395"/>
      <c r="N58" s="395"/>
      <c r="O58" s="395"/>
      <c r="P58" s="153"/>
    </row>
    <row r="59" spans="1:16" ht="18.75" customHeight="1" x14ac:dyDescent="0.3">
      <c r="A59" s="395"/>
      <c r="B59" s="399"/>
      <c r="C59" s="398"/>
      <c r="D59" s="398"/>
      <c r="E59" s="398"/>
      <c r="F59" s="398"/>
      <c r="G59" s="395"/>
      <c r="H59" s="395"/>
      <c r="I59" s="395"/>
      <c r="J59" s="395"/>
      <c r="K59" s="395"/>
      <c r="L59" s="395"/>
      <c r="M59" s="395"/>
      <c r="N59" s="395"/>
      <c r="O59" s="395"/>
      <c r="P59" s="153"/>
    </row>
    <row r="60" spans="1:16" ht="15" customHeight="1" x14ac:dyDescent="0.3">
      <c r="A60" s="395"/>
      <c r="B60" s="399"/>
      <c r="C60" s="398"/>
      <c r="D60" s="398"/>
      <c r="E60" s="398"/>
      <c r="F60" s="398"/>
      <c r="G60" s="395"/>
      <c r="H60" s="395"/>
      <c r="I60" s="395"/>
      <c r="J60" s="395"/>
      <c r="K60" s="395"/>
      <c r="L60" s="395"/>
      <c r="M60" s="395"/>
      <c r="N60" s="395"/>
      <c r="O60" s="395"/>
      <c r="P60" s="153"/>
    </row>
    <row r="61" spans="1:16" ht="15" customHeight="1" x14ac:dyDescent="0.3">
      <c r="A61" s="395"/>
      <c r="B61" s="399"/>
      <c r="C61" s="398"/>
      <c r="D61" s="398"/>
      <c r="E61" s="398"/>
      <c r="F61" s="398"/>
      <c r="G61" s="395"/>
      <c r="H61" s="395"/>
      <c r="I61" s="395"/>
      <c r="J61" s="395"/>
      <c r="K61" s="395"/>
      <c r="L61" s="395"/>
      <c r="M61" s="395"/>
      <c r="N61" s="395"/>
      <c r="O61" s="395"/>
      <c r="P61" s="153"/>
    </row>
    <row r="62" spans="1:16" ht="15" customHeight="1" x14ac:dyDescent="0.3">
      <c r="A62" s="395"/>
      <c r="B62" s="399"/>
      <c r="C62" s="398"/>
      <c r="D62" s="398"/>
      <c r="E62" s="398"/>
      <c r="F62" s="398"/>
      <c r="G62" s="395"/>
      <c r="H62" s="395"/>
      <c r="I62" s="395"/>
      <c r="J62" s="395"/>
      <c r="K62" s="395"/>
      <c r="L62" s="395"/>
      <c r="M62" s="395"/>
      <c r="N62" s="395"/>
      <c r="O62" s="395"/>
      <c r="P62" s="153"/>
    </row>
    <row r="63" spans="1:16" ht="15" customHeight="1" x14ac:dyDescent="0.3">
      <c r="A63" s="395"/>
      <c r="B63" s="399"/>
      <c r="C63" s="398"/>
      <c r="D63" s="398"/>
      <c r="E63" s="398"/>
      <c r="F63" s="398"/>
      <c r="G63" s="395"/>
      <c r="H63" s="395"/>
      <c r="I63" s="395"/>
      <c r="J63" s="395"/>
      <c r="K63" s="395"/>
      <c r="L63" s="395"/>
      <c r="M63" s="395"/>
      <c r="N63" s="395"/>
      <c r="O63" s="395"/>
      <c r="P63" s="153"/>
    </row>
    <row r="64" spans="1:16" ht="15" customHeight="1" x14ac:dyDescent="0.3">
      <c r="A64" s="395"/>
      <c r="B64" s="399"/>
      <c r="C64" s="398"/>
      <c r="D64" s="398"/>
      <c r="E64" s="398"/>
      <c r="F64" s="398"/>
      <c r="G64" s="395"/>
      <c r="H64" s="395"/>
      <c r="I64" s="395"/>
      <c r="J64" s="395"/>
      <c r="K64" s="395"/>
      <c r="L64" s="395"/>
      <c r="M64" s="395"/>
      <c r="N64" s="395"/>
      <c r="O64" s="395"/>
      <c r="P64" s="153"/>
    </row>
    <row r="65" spans="1:16" ht="19.5" customHeight="1" x14ac:dyDescent="0.3">
      <c r="A65" s="395"/>
      <c r="B65" s="395"/>
      <c r="C65" s="395"/>
      <c r="D65" s="395"/>
      <c r="E65" s="395"/>
      <c r="F65" s="398"/>
      <c r="G65" s="395"/>
      <c r="H65" s="395"/>
      <c r="I65" s="395"/>
      <c r="J65" s="395"/>
      <c r="K65" s="395"/>
      <c r="L65" s="395"/>
      <c r="M65" s="395"/>
      <c r="N65" s="395"/>
      <c r="O65" s="395"/>
      <c r="P65" s="153"/>
    </row>
    <row r="66" spans="1:16" ht="12" customHeight="1" x14ac:dyDescent="0.25">
      <c r="A66" s="395"/>
      <c r="B66" s="404"/>
      <c r="C66" s="404"/>
      <c r="D66" s="404"/>
      <c r="E66" s="404"/>
      <c r="F66" s="404"/>
      <c r="G66" s="404"/>
      <c r="H66" s="404"/>
      <c r="I66" s="404"/>
      <c r="J66" s="404"/>
      <c r="K66" s="404"/>
      <c r="L66" s="404"/>
      <c r="M66" s="404"/>
      <c r="N66" s="404"/>
      <c r="O66" s="405"/>
      <c r="P66" s="153"/>
    </row>
    <row r="67" spans="1:16" ht="12" customHeight="1" x14ac:dyDescent="0.25">
      <c r="A67" s="395"/>
      <c r="B67" s="404"/>
      <c r="C67" s="404"/>
      <c r="D67" s="404"/>
      <c r="E67" s="404"/>
      <c r="F67" s="404"/>
      <c r="G67" s="404"/>
      <c r="H67" s="404"/>
      <c r="I67" s="404"/>
      <c r="J67" s="404"/>
      <c r="K67" s="404"/>
      <c r="L67" s="404"/>
      <c r="M67" s="404"/>
      <c r="N67" s="404"/>
      <c r="O67" s="405"/>
      <c r="P67" s="153"/>
    </row>
    <row r="68" spans="1:16" ht="24" customHeight="1" x14ac:dyDescent="0.35">
      <c r="A68" s="395"/>
      <c r="B68" s="1408"/>
      <c r="C68" s="1408"/>
      <c r="D68" s="1408"/>
      <c r="E68" s="405"/>
      <c r="F68" s="405"/>
      <c r="G68" s="405"/>
      <c r="H68" s="405"/>
      <c r="I68" s="405"/>
      <c r="J68" s="405"/>
      <c r="K68" s="405"/>
      <c r="L68" s="405"/>
      <c r="M68" s="405"/>
      <c r="N68" s="405"/>
      <c r="O68" s="405"/>
      <c r="P68" s="153"/>
    </row>
    <row r="69" spans="1:16" ht="22.5" customHeight="1" x14ac:dyDescent="0.35">
      <c r="A69" s="395"/>
      <c r="B69" s="1399" t="s">
        <v>524</v>
      </c>
      <c r="C69" s="1399"/>
      <c r="D69" s="1399"/>
      <c r="E69" s="405"/>
      <c r="F69" s="405"/>
      <c r="G69" s="405"/>
      <c r="H69" s="405"/>
      <c r="I69" s="405"/>
      <c r="J69" s="405"/>
      <c r="K69" s="405"/>
      <c r="L69" s="405"/>
      <c r="M69" s="405"/>
      <c r="N69" s="405"/>
      <c r="O69" s="405"/>
      <c r="P69" s="153"/>
    </row>
    <row r="70" spans="1:16" ht="9" customHeight="1" x14ac:dyDescent="0.3">
      <c r="A70" s="395"/>
      <c r="B70" s="406"/>
      <c r="C70" s="405"/>
      <c r="D70" s="405"/>
      <c r="E70" s="405"/>
      <c r="F70" s="405"/>
      <c r="G70" s="405"/>
      <c r="H70" s="405"/>
      <c r="I70" s="405"/>
      <c r="J70" s="405"/>
      <c r="K70" s="405"/>
      <c r="L70" s="405"/>
      <c r="M70" s="405"/>
      <c r="N70" s="405"/>
      <c r="O70" s="405"/>
      <c r="P70" s="153"/>
    </row>
    <row r="71" spans="1:16" ht="14.25" customHeight="1" x14ac:dyDescent="0.25">
      <c r="A71" s="395"/>
      <c r="B71" s="402" t="s">
        <v>2269</v>
      </c>
      <c r="C71" s="402"/>
      <c r="D71" s="402"/>
      <c r="E71" s="402"/>
      <c r="F71" s="402"/>
      <c r="G71" s="407"/>
      <c r="H71" s="1249" t="s">
        <v>2270</v>
      </c>
      <c r="I71" s="402"/>
      <c r="J71" s="402"/>
      <c r="K71" s="402"/>
      <c r="L71" s="402"/>
      <c r="M71" s="402"/>
      <c r="N71" s="402"/>
      <c r="O71" s="405"/>
      <c r="P71" s="153"/>
    </row>
    <row r="72" spans="1:16" x14ac:dyDescent="0.25">
      <c r="A72" s="395"/>
      <c r="B72" s="408"/>
      <c r="C72" s="408"/>
      <c r="D72" s="408"/>
      <c r="E72" s="408"/>
      <c r="F72" s="408"/>
      <c r="G72" s="408"/>
      <c r="H72" s="408"/>
      <c r="I72" s="408"/>
      <c r="J72" s="408"/>
      <c r="K72" s="408"/>
      <c r="L72" s="408"/>
      <c r="M72" s="408"/>
      <c r="N72" s="408"/>
      <c r="O72" s="405"/>
      <c r="P72" s="153"/>
    </row>
    <row r="73" spans="1:16" hidden="1" x14ac:dyDescent="0.25"/>
    <row r="74" spans="1:16" hidden="1" x14ac:dyDescent="0.25"/>
    <row r="75" spans="1:16" hidden="1" x14ac:dyDescent="0.25"/>
    <row r="76" spans="1:16" hidden="1" x14ac:dyDescent="0.25"/>
    <row r="77" spans="1:16" hidden="1" x14ac:dyDescent="0.25"/>
    <row r="78" spans="1:16" hidden="1" x14ac:dyDescent="0.25"/>
    <row r="79" spans="1:16" hidden="1" x14ac:dyDescent="0.25"/>
    <row r="80" spans="1: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sheetData>
  <sheetProtection algorithmName="SHA-512" hashValue="TwhPzNKkdQNp/gQTLoJ8bjEyLLgOeQyuyajkVo9oXXtulgS/JFsMDU0EUw7YvWbuuLIlubRc9ShosFFKMMkPfg==" saltValue="2Wl+G3b/CvHUHSqNPjRdHw==" spinCount="100000" sheet="1" objects="1" scenarios="1" formatRows="0"/>
  <mergeCells count="27">
    <mergeCell ref="B7:D7"/>
    <mergeCell ref="B15:D15"/>
    <mergeCell ref="B68:D68"/>
    <mergeCell ref="J1:O1"/>
    <mergeCell ref="J2:K2"/>
    <mergeCell ref="J4:K4"/>
    <mergeCell ref="J3:K3"/>
    <mergeCell ref="A1:I1"/>
    <mergeCell ref="B2:E2"/>
    <mergeCell ref="B3:E3"/>
    <mergeCell ref="B4:E4"/>
    <mergeCell ref="B17:K17"/>
    <mergeCell ref="B18:K18"/>
    <mergeCell ref="B19:K19"/>
    <mergeCell ref="B20:K20"/>
    <mergeCell ref="B21:K21"/>
    <mergeCell ref="B69:D69"/>
    <mergeCell ref="J24:K24"/>
    <mergeCell ref="J25:K25"/>
    <mergeCell ref="B24:C24"/>
    <mergeCell ref="B25:C25"/>
    <mergeCell ref="F24:G24"/>
    <mergeCell ref="F25:G25"/>
    <mergeCell ref="H24:I24"/>
    <mergeCell ref="H25:I25"/>
    <mergeCell ref="D24:E24"/>
    <mergeCell ref="D25:E25"/>
  </mergeCells>
  <hyperlinks>
    <hyperlink ref="B3" location="Instructions!B16" tooltip="How to use this tool?" display="2. How to use this tool?" xr:uid="{00000000-0004-0000-0400-000000000000}"/>
    <hyperlink ref="B2" location="Instructions!B8" tooltip="General" display="1. General" xr:uid="{00000000-0004-0000-0400-000001000000}"/>
    <hyperlink ref="B4:E4" location="Instructions!B69" tooltip="Enquiries" display="3. Enquiries" xr:uid="{00000000-0004-0000-0400-000002000000}"/>
    <hyperlink ref="B3:E3" location="Instructions!B15" tooltip="How to use this Tool?" display="2. How to use this Tool?" xr:uid="{00000000-0004-0000-0400-000004000000}"/>
    <hyperlink ref="B2:E2" location="Instructions!B7" tooltip="General" display="1. General" xr:uid="{00000000-0004-0000-0400-000005000000}"/>
    <hyperlink ref="H71" r:id="rId1" xr:uid="{C7945B00-B1AC-479D-9B3E-31EB22159782}"/>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tabColor rgb="FF984806"/>
  </sheetPr>
  <dimension ref="A1:O216"/>
  <sheetViews>
    <sheetView showRowColHeaders="0" workbookViewId="0">
      <pane ySplit="7" topLeftCell="A8" activePane="bottomLeft" state="frozen"/>
      <selection activeCell="E9" sqref="E9:F9"/>
      <selection pane="bottomLeft" activeCell="A16" sqref="A16:L16"/>
    </sheetView>
  </sheetViews>
  <sheetFormatPr defaultColWidth="0" defaultRowHeight="15" customHeight="1" zeroHeight="1" x14ac:dyDescent="0.25"/>
  <cols>
    <col min="1" max="1" width="4.5703125" style="35" customWidth="1"/>
    <col min="2" max="4" width="20.7109375" style="35" customWidth="1"/>
    <col min="5" max="5" width="21.85546875" style="35" customWidth="1"/>
    <col min="6" max="7" width="18.7109375" style="35" customWidth="1"/>
    <col min="8" max="8" width="18.5703125" style="35" customWidth="1"/>
    <col min="9" max="9" width="7.42578125" style="35" customWidth="1"/>
    <col min="10" max="10" width="10.140625" style="35" customWidth="1"/>
    <col min="11" max="12" width="8.140625" style="35" customWidth="1"/>
    <col min="13" max="13" width="9.140625" style="35" hidden="1" customWidth="1"/>
    <col min="14" max="14" width="35.28515625" style="35" hidden="1" customWidth="1"/>
    <col min="15" max="16384" width="9.140625" style="35" hidden="1"/>
  </cols>
  <sheetData>
    <row r="1" spans="1:15" ht="25.5" customHeight="1" x14ac:dyDescent="0.25">
      <c r="A1" s="1372" t="s">
        <v>1714</v>
      </c>
      <c r="B1" s="1372"/>
      <c r="C1" s="1372"/>
      <c r="D1" s="1372"/>
      <c r="E1" s="1372"/>
      <c r="F1" s="1372"/>
      <c r="G1" s="1372"/>
      <c r="H1" s="1372"/>
      <c r="I1" s="1372"/>
      <c r="J1" s="1372"/>
      <c r="K1" s="1372"/>
      <c r="L1" s="1372"/>
    </row>
    <row r="2" spans="1:15" ht="15" customHeight="1" x14ac:dyDescent="0.25">
      <c r="A2" s="46"/>
      <c r="B2" s="46"/>
      <c r="C2" s="46"/>
      <c r="D2" s="46"/>
      <c r="E2" s="46"/>
      <c r="F2" s="45"/>
      <c r="G2" s="45"/>
      <c r="H2" s="1835" t="s">
        <v>1285</v>
      </c>
      <c r="I2" s="1835"/>
      <c r="J2" s="1835"/>
      <c r="K2" s="622" t="s">
        <v>258</v>
      </c>
      <c r="L2" s="622"/>
    </row>
    <row r="3" spans="1:15" ht="15" customHeight="1" x14ac:dyDescent="0.25">
      <c r="A3" s="46"/>
      <c r="B3" s="46"/>
      <c r="C3" s="46"/>
      <c r="D3" s="46"/>
      <c r="E3" s="46"/>
      <c r="F3" s="45"/>
      <c r="G3" s="45"/>
      <c r="H3" s="1835"/>
      <c r="I3" s="1835"/>
      <c r="J3" s="1835"/>
      <c r="K3" s="622" t="s">
        <v>259</v>
      </c>
      <c r="L3" s="622" t="s">
        <v>261</v>
      </c>
    </row>
    <row r="4" spans="1:15" ht="15" customHeight="1" x14ac:dyDescent="0.25">
      <c r="A4" s="46"/>
      <c r="B4" s="46"/>
      <c r="C4" s="46"/>
      <c r="D4" s="46"/>
      <c r="E4" s="46"/>
      <c r="F4" s="45"/>
      <c r="G4" s="45"/>
      <c r="H4" s="1850"/>
      <c r="I4" s="1850"/>
      <c r="J4" s="1850"/>
      <c r="K4" s="622" t="s">
        <v>260</v>
      </c>
      <c r="L4" s="622"/>
    </row>
    <row r="5" spans="1:15" ht="18" customHeight="1" x14ac:dyDescent="0.25">
      <c r="A5" s="1851" t="s">
        <v>2650</v>
      </c>
      <c r="B5" s="1852"/>
      <c r="C5" s="1852"/>
      <c r="D5" s="1852"/>
      <c r="E5" s="1852"/>
      <c r="F5" s="1852"/>
      <c r="G5" s="1852"/>
      <c r="H5" s="1852"/>
      <c r="I5" s="1852"/>
      <c r="J5" s="1852"/>
      <c r="K5" s="1852"/>
      <c r="L5" s="1853"/>
    </row>
    <row r="6" spans="1:15" ht="18" customHeight="1" x14ac:dyDescent="0.25">
      <c r="A6" s="1854"/>
      <c r="B6" s="1855"/>
      <c r="C6" s="1855"/>
      <c r="D6" s="1855"/>
      <c r="E6" s="1855"/>
      <c r="F6" s="1855"/>
      <c r="G6" s="1855"/>
      <c r="H6" s="1855"/>
      <c r="I6" s="1855"/>
      <c r="J6" s="1855"/>
      <c r="K6" s="1855"/>
      <c r="L6" s="1856"/>
      <c r="N6" s="45"/>
      <c r="O6" s="45"/>
    </row>
    <row r="7" spans="1:15" ht="9" customHeight="1" x14ac:dyDescent="0.25">
      <c r="A7" s="45"/>
      <c r="B7" s="46"/>
      <c r="C7" s="46"/>
      <c r="D7" s="46"/>
      <c r="E7" s="46"/>
      <c r="F7" s="45"/>
      <c r="G7" s="45"/>
      <c r="H7" s="45"/>
      <c r="I7" s="45"/>
      <c r="J7" s="45"/>
      <c r="K7" s="45"/>
      <c r="L7" s="45"/>
      <c r="N7" s="45"/>
    </row>
    <row r="8" spans="1:15" ht="18" customHeight="1" x14ac:dyDescent="0.25">
      <c r="A8" s="2431" t="s">
        <v>1537</v>
      </c>
      <c r="B8" s="2431"/>
      <c r="C8" s="2431"/>
      <c r="D8" s="2431"/>
      <c r="E8" s="2431"/>
      <c r="F8" s="2431"/>
      <c r="G8" s="2431"/>
      <c r="H8" s="2431"/>
      <c r="I8" s="2431"/>
      <c r="J8" s="2431"/>
      <c r="K8" s="2431"/>
      <c r="L8" s="2431"/>
    </row>
    <row r="9" spans="1:15" ht="16.5" customHeight="1" x14ac:dyDescent="0.25">
      <c r="A9" s="45"/>
      <c r="B9" s="45"/>
      <c r="C9" s="45"/>
      <c r="D9" s="45"/>
      <c r="E9" s="45"/>
      <c r="F9" s="45"/>
      <c r="G9" s="45"/>
      <c r="H9" s="45"/>
      <c r="I9" s="45"/>
      <c r="J9" s="45"/>
      <c r="K9" s="45"/>
      <c r="L9" s="45"/>
    </row>
    <row r="10" spans="1:15" ht="19.5" customHeight="1" x14ac:dyDescent="0.25">
      <c r="A10" s="45"/>
      <c r="B10" s="2435" t="s">
        <v>83</v>
      </c>
      <c r="C10" s="2436"/>
      <c r="D10" s="2436"/>
      <c r="E10" s="2436"/>
      <c r="F10" s="444" t="s">
        <v>64</v>
      </c>
      <c r="G10" s="444" t="s">
        <v>16</v>
      </c>
      <c r="H10" s="52" t="s">
        <v>133</v>
      </c>
      <c r="I10" s="45"/>
      <c r="J10" s="45"/>
      <c r="K10" s="45"/>
      <c r="L10" s="45"/>
    </row>
    <row r="11" spans="1:15" ht="31.5" customHeight="1" x14ac:dyDescent="0.25">
      <c r="A11" s="45"/>
      <c r="B11" s="1832" t="s">
        <v>1730</v>
      </c>
      <c r="C11" s="1833"/>
      <c r="D11" s="1833"/>
      <c r="E11" s="1834"/>
      <c r="F11" s="281">
        <v>1</v>
      </c>
      <c r="G11" s="281">
        <f>C41</f>
        <v>0</v>
      </c>
      <c r="H11" s="281" t="str">
        <f>C42</f>
        <v>No</v>
      </c>
      <c r="I11" s="45"/>
      <c r="J11" s="45"/>
      <c r="K11" s="45"/>
      <c r="L11" s="45"/>
      <c r="M11" s="35" t="str">
        <f>IF(G11&lt;&gt;0,IF(H11="No","No","Yes"),"Yes")</f>
        <v>Yes</v>
      </c>
    </row>
    <row r="12" spans="1:15" ht="30" customHeight="1" x14ac:dyDescent="0.25">
      <c r="A12" s="45"/>
      <c r="B12" s="1832" t="s">
        <v>1929</v>
      </c>
      <c r="C12" s="1833"/>
      <c r="D12" s="1833"/>
      <c r="E12" s="1834"/>
      <c r="F12" s="281">
        <v>1</v>
      </c>
      <c r="G12" s="281">
        <f>C73</f>
        <v>0</v>
      </c>
      <c r="H12" s="281" t="str">
        <f>C74</f>
        <v>No</v>
      </c>
      <c r="I12" s="45"/>
      <c r="J12" s="45"/>
      <c r="K12" s="45"/>
      <c r="L12" s="45"/>
      <c r="M12" s="35" t="str">
        <f t="shared" ref="M12:M13" si="0">IF(G12&lt;&gt;0,IF(H12="No","No","Yes"),"Yes")</f>
        <v>Yes</v>
      </c>
    </row>
    <row r="13" spans="1:15" ht="30" customHeight="1" x14ac:dyDescent="0.25">
      <c r="A13" s="45"/>
      <c r="B13" s="1832" t="s">
        <v>1729</v>
      </c>
      <c r="C13" s="1833"/>
      <c r="D13" s="1833"/>
      <c r="E13" s="1834"/>
      <c r="F13" s="281">
        <v>1</v>
      </c>
      <c r="G13" s="281">
        <f>C117</f>
        <v>0</v>
      </c>
      <c r="H13" s="281" t="str">
        <f>C118</f>
        <v>No</v>
      </c>
      <c r="I13" s="45"/>
      <c r="J13" s="45"/>
      <c r="K13" s="45"/>
      <c r="L13" s="45"/>
      <c r="M13" s="35" t="str">
        <f t="shared" si="0"/>
        <v>Yes</v>
      </c>
    </row>
    <row r="14" spans="1:15" ht="18" customHeight="1" x14ac:dyDescent="0.25">
      <c r="A14" s="45"/>
      <c r="B14" s="1847" t="s">
        <v>25</v>
      </c>
      <c r="C14" s="1848"/>
      <c r="D14" s="1848"/>
      <c r="E14" s="1849"/>
      <c r="F14" s="908">
        <v>3</v>
      </c>
      <c r="G14" s="498">
        <f>MIN(3,SUM(G11:G13))</f>
        <v>0</v>
      </c>
      <c r="H14" s="498" t="str">
        <f>IF(COUNTIF(H11:H13,"No")=3,"No",IF(COUNTIF(M11:M13,"Yes")=3,"Yes","No"))</f>
        <v>No</v>
      </c>
      <c r="I14" s="45"/>
      <c r="J14" s="45"/>
      <c r="K14" s="45"/>
      <c r="L14" s="45"/>
    </row>
    <row r="15" spans="1:15" ht="18.75" customHeight="1" x14ac:dyDescent="0.25">
      <c r="A15" s="46"/>
      <c r="B15" s="46"/>
      <c r="C15" s="46"/>
      <c r="D15" s="46"/>
      <c r="E15" s="46"/>
      <c r="F15" s="45"/>
      <c r="G15" s="45"/>
      <c r="H15" s="45"/>
      <c r="I15" s="45"/>
      <c r="J15" s="45"/>
      <c r="K15" s="45"/>
      <c r="L15" s="45"/>
    </row>
    <row r="16" spans="1:15" ht="18" customHeight="1" x14ac:dyDescent="0.25">
      <c r="A16" s="2431" t="s">
        <v>1731</v>
      </c>
      <c r="B16" s="2431"/>
      <c r="C16" s="2431"/>
      <c r="D16" s="2431"/>
      <c r="E16" s="2431"/>
      <c r="F16" s="2431"/>
      <c r="G16" s="2431"/>
      <c r="H16" s="2431"/>
      <c r="I16" s="2431"/>
      <c r="J16" s="2431"/>
      <c r="K16" s="2431"/>
      <c r="L16" s="2431"/>
    </row>
    <row r="17" spans="1:12" x14ac:dyDescent="0.25">
      <c r="A17" s="46"/>
      <c r="B17" s="46"/>
      <c r="C17" s="46"/>
      <c r="D17" s="46"/>
      <c r="E17" s="46"/>
      <c r="F17" s="46"/>
      <c r="G17" s="46"/>
      <c r="H17" s="46"/>
      <c r="I17" s="46"/>
      <c r="J17" s="46"/>
      <c r="K17" s="46"/>
      <c r="L17" s="46"/>
    </row>
    <row r="18" spans="1:12" ht="16.5" customHeight="1" x14ac:dyDescent="0.25">
      <c r="A18" s="2429" t="s">
        <v>102</v>
      </c>
      <c r="B18" s="2429"/>
      <c r="C18" s="2429"/>
      <c r="D18" s="46"/>
      <c r="E18" s="46"/>
      <c r="F18" s="46"/>
      <c r="G18" s="46"/>
      <c r="H18" s="46"/>
      <c r="I18" s="46"/>
      <c r="J18" s="46"/>
      <c r="K18" s="46"/>
      <c r="L18" s="46"/>
    </row>
    <row r="19" spans="1:12" x14ac:dyDescent="0.25">
      <c r="A19" s="45"/>
      <c r="B19" s="46"/>
      <c r="C19" s="46"/>
      <c r="D19" s="46"/>
      <c r="E19" s="46"/>
      <c r="F19" s="45"/>
      <c r="G19" s="45"/>
      <c r="H19" s="45"/>
      <c r="I19" s="45"/>
      <c r="J19" s="45"/>
      <c r="K19" s="45"/>
      <c r="L19" s="45"/>
    </row>
    <row r="20" spans="1:12" x14ac:dyDescent="0.25">
      <c r="A20" s="45"/>
      <c r="B20" s="1047" t="s">
        <v>363</v>
      </c>
      <c r="C20" s="46"/>
      <c r="D20" s="46"/>
      <c r="E20" s="46"/>
      <c r="F20" s="45"/>
      <c r="G20" s="45"/>
      <c r="H20" s="45"/>
      <c r="I20" s="45"/>
      <c r="J20" s="45"/>
      <c r="K20" s="45"/>
      <c r="L20" s="45"/>
    </row>
    <row r="21" spans="1:12" ht="21" customHeight="1" x14ac:dyDescent="0.25">
      <c r="A21" s="45"/>
      <c r="B21" s="46"/>
      <c r="C21" s="46"/>
      <c r="D21" s="46"/>
      <c r="E21" s="46"/>
      <c r="F21" s="45"/>
      <c r="G21" s="45"/>
      <c r="H21" s="45"/>
      <c r="I21" s="45"/>
      <c r="J21" s="45"/>
      <c r="K21" s="45"/>
      <c r="L21" s="45"/>
    </row>
    <row r="22" spans="1:12" x14ac:dyDescent="0.25">
      <c r="A22" s="45"/>
      <c r="B22" s="535" t="s">
        <v>698</v>
      </c>
      <c r="C22" s="46"/>
      <c r="D22" s="46"/>
      <c r="E22" s="46"/>
      <c r="F22" s="45"/>
      <c r="G22" s="45"/>
      <c r="H22" s="45"/>
      <c r="I22" s="45"/>
      <c r="J22" s="45"/>
      <c r="K22" s="45"/>
      <c r="L22" s="45"/>
    </row>
    <row r="23" spans="1:12" ht="12.75" customHeight="1" x14ac:dyDescent="0.25">
      <c r="A23" s="45"/>
      <c r="B23" s="46"/>
      <c r="C23" s="46"/>
      <c r="D23" s="46"/>
      <c r="E23" s="46"/>
      <c r="F23" s="45"/>
      <c r="G23" s="45"/>
      <c r="H23" s="45"/>
      <c r="I23" s="45"/>
      <c r="J23" s="45"/>
      <c r="K23" s="45"/>
      <c r="L23" s="45"/>
    </row>
    <row r="24" spans="1:12" ht="18" customHeight="1" x14ac:dyDescent="0.25">
      <c r="A24" s="45"/>
      <c r="B24" s="1726" t="str">
        <f>IF('Project information'!C7="Certification stage","• Has a LOTUS AP been involved in the project team?","• Will a LOTUS AP be involved in the project team?")</f>
        <v>• Has a LOTUS AP been involved in the project team?</v>
      </c>
      <c r="C24" s="1726"/>
      <c r="D24" s="1726"/>
      <c r="E24" s="1726"/>
      <c r="F24" s="1726"/>
      <c r="G24" s="1046" t="s">
        <v>53</v>
      </c>
      <c r="H24" s="45"/>
      <c r="I24" s="45"/>
      <c r="J24" s="45"/>
      <c r="K24" s="45"/>
      <c r="L24" s="45"/>
    </row>
    <row r="25" spans="1:12" ht="18" customHeight="1" x14ac:dyDescent="0.25">
      <c r="A25" s="45"/>
      <c r="B25" s="1726" t="str">
        <f>IF('Project information'!C7="Certification stage","• Has the LOTUS AP contributed to the project from design to completion of fit-out?","• Will the LOTUS AP contribute to the project from design to completion of fit-out?")</f>
        <v>• Has the LOTUS AP contributed to the project from design to completion of fit-out?</v>
      </c>
      <c r="C25" s="1726"/>
      <c r="D25" s="1726"/>
      <c r="E25" s="1726"/>
      <c r="F25" s="1726"/>
      <c r="G25" s="1046" t="s">
        <v>53</v>
      </c>
      <c r="H25" s="45"/>
      <c r="I25" s="45"/>
      <c r="J25" s="45"/>
      <c r="K25" s="45"/>
      <c r="L25" s="45"/>
    </row>
    <row r="26" spans="1:12" ht="18" customHeight="1" x14ac:dyDescent="0.25">
      <c r="A26" s="45"/>
      <c r="B26" s="45"/>
      <c r="C26" s="45"/>
      <c r="D26" s="45"/>
      <c r="E26" s="45"/>
      <c r="F26" s="45"/>
      <c r="G26" s="45"/>
      <c r="H26" s="45"/>
      <c r="I26" s="45"/>
      <c r="J26" s="45"/>
      <c r="K26" s="45"/>
      <c r="L26" s="45"/>
    </row>
    <row r="27" spans="1:12" ht="18" customHeight="1" x14ac:dyDescent="0.25">
      <c r="A27" s="45"/>
      <c r="B27" s="2432" t="s">
        <v>359</v>
      </c>
      <c r="C27" s="2487"/>
      <c r="D27" s="2491"/>
      <c r="E27" s="2492"/>
      <c r="F27" s="45"/>
      <c r="G27" s="45"/>
      <c r="H27" s="45"/>
      <c r="I27" s="45"/>
      <c r="J27" s="45"/>
      <c r="K27" s="45"/>
      <c r="L27" s="45"/>
    </row>
    <row r="28" spans="1:12" ht="18" customHeight="1" x14ac:dyDescent="0.25">
      <c r="A28" s="45"/>
      <c r="B28" s="2432" t="s">
        <v>360</v>
      </c>
      <c r="C28" s="2487"/>
      <c r="D28" s="2491"/>
      <c r="E28" s="2492"/>
      <c r="F28" s="45"/>
      <c r="G28" s="45"/>
      <c r="H28" s="45"/>
      <c r="I28" s="112"/>
      <c r="J28" s="112"/>
      <c r="K28" s="45"/>
      <c r="L28" s="45"/>
    </row>
    <row r="29" spans="1:12" ht="35.25" customHeight="1" x14ac:dyDescent="0.25">
      <c r="A29" s="45"/>
      <c r="B29" s="2432" t="s">
        <v>361</v>
      </c>
      <c r="C29" s="2487"/>
      <c r="D29" s="2488"/>
      <c r="E29" s="2489"/>
      <c r="F29" s="2489"/>
      <c r="G29" s="2489"/>
      <c r="H29" s="2490"/>
      <c r="I29" s="45"/>
      <c r="J29" s="45"/>
      <c r="K29" s="45"/>
      <c r="L29" s="45"/>
    </row>
    <row r="30" spans="1:12" ht="16.5" customHeight="1" x14ac:dyDescent="0.25">
      <c r="A30" s="45"/>
      <c r="B30" s="46"/>
      <c r="C30" s="46"/>
      <c r="D30" s="46"/>
      <c r="E30" s="46"/>
      <c r="F30" s="45"/>
      <c r="G30" s="45"/>
      <c r="H30" s="45"/>
      <c r="I30" s="45"/>
      <c r="J30" s="45"/>
      <c r="K30" s="45"/>
      <c r="L30" s="45"/>
    </row>
    <row r="31" spans="1:12" ht="20.25" customHeight="1" x14ac:dyDescent="0.25">
      <c r="A31" s="45"/>
      <c r="B31" s="2485" t="s">
        <v>362</v>
      </c>
      <c r="C31" s="2486"/>
      <c r="D31" s="144" t="str">
        <f>IF(AND(D29&lt;&gt;"",D27&lt;&gt;"",D28&lt;&gt;"",COUNTIF(G24:G25,"Yes")=2),"Yes","No")</f>
        <v>No</v>
      </c>
      <c r="E31" s="46"/>
      <c r="F31" s="45"/>
      <c r="G31" s="45"/>
      <c r="H31" s="45"/>
      <c r="I31" s="45"/>
      <c r="J31" s="45"/>
      <c r="K31" s="45"/>
      <c r="L31" s="45"/>
    </row>
    <row r="32" spans="1:12" ht="21" customHeight="1" x14ac:dyDescent="0.25">
      <c r="A32" s="46"/>
      <c r="B32" s="46"/>
      <c r="C32" s="46"/>
      <c r="D32" s="46"/>
      <c r="E32" s="46"/>
      <c r="F32" s="46"/>
      <c r="G32" s="46"/>
      <c r="H32" s="46"/>
      <c r="I32" s="46"/>
      <c r="J32" s="46"/>
      <c r="K32" s="46"/>
      <c r="L32" s="46"/>
    </row>
    <row r="33" spans="1:13" ht="16.5" customHeight="1" x14ac:dyDescent="0.25">
      <c r="A33" s="2429" t="s">
        <v>84</v>
      </c>
      <c r="B33" s="2429"/>
      <c r="C33" s="2429"/>
      <c r="D33" s="46"/>
      <c r="E33" s="46"/>
      <c r="F33" s="46"/>
      <c r="G33" s="46"/>
      <c r="H33" s="46"/>
      <c r="I33" s="46"/>
      <c r="J33" s="46"/>
      <c r="K33" s="46"/>
      <c r="L33" s="46"/>
    </row>
    <row r="34" spans="1:13" x14ac:dyDescent="0.25">
      <c r="A34" s="45"/>
      <c r="B34" s="46"/>
      <c r="C34" s="46"/>
      <c r="D34" s="46"/>
      <c r="E34" s="46"/>
      <c r="F34" s="46"/>
      <c r="G34" s="46"/>
      <c r="H34" s="46"/>
      <c r="I34" s="46"/>
      <c r="J34" s="46"/>
      <c r="K34" s="46"/>
      <c r="L34" s="46"/>
    </row>
    <row r="35" spans="1:13" ht="18" customHeight="1" x14ac:dyDescent="0.25">
      <c r="A35" s="45"/>
      <c r="B35" s="2419" t="s">
        <v>1530</v>
      </c>
      <c r="C35" s="2420"/>
      <c r="D35" s="2420"/>
      <c r="E35" s="2420"/>
      <c r="F35" s="2420"/>
      <c r="G35" s="1030" t="s">
        <v>907</v>
      </c>
      <c r="H35" s="2493" t="s">
        <v>908</v>
      </c>
      <c r="I35" s="2494"/>
      <c r="J35" s="45"/>
      <c r="K35" s="45"/>
      <c r="L35" s="45"/>
    </row>
    <row r="36" spans="1:13" ht="24" customHeight="1" x14ac:dyDescent="0.25">
      <c r="A36" s="45"/>
      <c r="B36" s="1648" t="str">
        <f>Submittals!G158</f>
        <v>• Evidence showing the involvement of a LOTUS AP until completion of fit-out</v>
      </c>
      <c r="C36" s="1649"/>
      <c r="D36" s="1649"/>
      <c r="E36" s="1649"/>
      <c r="F36" s="1650"/>
      <c r="G36" s="1027" t="s">
        <v>53</v>
      </c>
      <c r="H36" s="1651"/>
      <c r="I36" s="1652"/>
      <c r="J36" s="45"/>
      <c r="K36" s="45"/>
      <c r="L36" s="45"/>
      <c r="M36" s="35" t="str">
        <f>IF(OR(B36="/",B36="No evidence required at this submission stage"),"Yes",IF(G36="Submitted","Yes","No"))</f>
        <v>No</v>
      </c>
    </row>
    <row r="37" spans="1:13" ht="24" customHeight="1" x14ac:dyDescent="0.25">
      <c r="A37" s="45"/>
      <c r="B37" s="1648" t="str">
        <f>Submittals!G159</f>
        <v>• Copy of the LOTUS AP certificate</v>
      </c>
      <c r="C37" s="1649"/>
      <c r="D37" s="1649"/>
      <c r="E37" s="1649"/>
      <c r="F37" s="1650"/>
      <c r="G37" s="1063" t="s">
        <v>53</v>
      </c>
      <c r="H37" s="1651"/>
      <c r="I37" s="1652"/>
      <c r="J37" s="45"/>
      <c r="K37" s="45"/>
      <c r="L37" s="45"/>
      <c r="M37" s="35" t="str">
        <f>IF(OR(B37="/",B37="No evidence required at this submission stage"),"Yes",IF(G37="Submitted","Yes","No"))</f>
        <v>No</v>
      </c>
    </row>
    <row r="38" spans="1:13" ht="19.5" customHeight="1" x14ac:dyDescent="0.25">
      <c r="A38" s="45"/>
      <c r="B38" s="46"/>
      <c r="C38" s="46"/>
      <c r="D38" s="46"/>
      <c r="E38" s="45"/>
      <c r="F38" s="45"/>
      <c r="G38" s="45"/>
      <c r="H38" s="45"/>
      <c r="I38" s="45"/>
      <c r="J38" s="45"/>
      <c r="K38" s="45"/>
      <c r="L38" s="45"/>
    </row>
    <row r="39" spans="1:13" ht="16.5" customHeight="1" x14ac:dyDescent="0.25">
      <c r="A39" s="2429" t="s">
        <v>5</v>
      </c>
      <c r="B39" s="2429"/>
      <c r="C39" s="2429"/>
      <c r="D39" s="46"/>
      <c r="E39" s="46"/>
      <c r="F39" s="46"/>
      <c r="G39" s="46"/>
      <c r="H39" s="46"/>
      <c r="I39" s="46"/>
      <c r="J39" s="46"/>
      <c r="K39" s="46"/>
      <c r="L39" s="46"/>
    </row>
    <row r="40" spans="1:13" ht="15" customHeight="1" x14ac:dyDescent="0.25">
      <c r="A40" s="46"/>
      <c r="B40" s="46"/>
      <c r="C40" s="46"/>
      <c r="D40" s="46"/>
      <c r="E40" s="46"/>
      <c r="F40" s="46"/>
      <c r="G40" s="46"/>
      <c r="H40" s="46"/>
      <c r="I40" s="46"/>
      <c r="J40" s="46"/>
      <c r="K40" s="46"/>
      <c r="L40" s="46"/>
    </row>
    <row r="41" spans="1:13" ht="18" customHeight="1" x14ac:dyDescent="0.25">
      <c r="A41" s="46"/>
      <c r="B41" s="1040" t="s">
        <v>16</v>
      </c>
      <c r="C41" s="8">
        <f>IF(D31="Yes",1,0)</f>
        <v>0</v>
      </c>
      <c r="D41" s="46"/>
      <c r="E41" s="46"/>
      <c r="F41" s="46"/>
      <c r="G41" s="46"/>
      <c r="H41" s="46"/>
      <c r="I41" s="46"/>
      <c r="J41" s="46"/>
      <c r="K41" s="46"/>
      <c r="L41" s="46"/>
    </row>
    <row r="42" spans="1:13" ht="18" customHeight="1" x14ac:dyDescent="0.25">
      <c r="A42" s="46"/>
      <c r="B42" s="1040" t="s">
        <v>133</v>
      </c>
      <c r="C42" s="108" t="str">
        <f>IF(AND(COUNTIF(M36:M37,"Yes")=2,C41&gt;0),"Yes","No")</f>
        <v>No</v>
      </c>
      <c r="D42" s="46"/>
      <c r="E42" s="46"/>
      <c r="F42" s="46"/>
      <c r="G42" s="46"/>
      <c r="H42" s="46"/>
      <c r="I42" s="46"/>
      <c r="J42" s="46"/>
      <c r="K42" s="46"/>
      <c r="L42" s="46"/>
    </row>
    <row r="43" spans="1:13" ht="21" customHeight="1" x14ac:dyDescent="0.25">
      <c r="A43" s="46"/>
      <c r="B43" s="46"/>
      <c r="C43" s="46"/>
      <c r="D43" s="46"/>
      <c r="E43" s="46"/>
      <c r="F43" s="45"/>
      <c r="G43" s="45"/>
      <c r="H43" s="45"/>
      <c r="I43" s="45"/>
      <c r="J43" s="45"/>
      <c r="K43" s="45"/>
      <c r="L43" s="45"/>
    </row>
    <row r="44" spans="1:13" ht="18" customHeight="1" x14ac:dyDescent="0.25">
      <c r="A44" s="2431" t="s">
        <v>1732</v>
      </c>
      <c r="B44" s="2431"/>
      <c r="C44" s="2431"/>
      <c r="D44" s="2431"/>
      <c r="E44" s="2431"/>
      <c r="F44" s="2431"/>
      <c r="G44" s="2431"/>
      <c r="H44" s="2431"/>
      <c r="I44" s="2431"/>
      <c r="J44" s="2431"/>
      <c r="K44" s="2431"/>
      <c r="L44" s="2431"/>
    </row>
    <row r="45" spans="1:13" ht="15" customHeight="1" x14ac:dyDescent="0.25">
      <c r="A45" s="46"/>
      <c r="B45" s="46"/>
      <c r="C45" s="46"/>
      <c r="D45" s="46"/>
      <c r="E45" s="46"/>
      <c r="F45" s="46"/>
      <c r="G45" s="46"/>
      <c r="H45" s="46"/>
      <c r="I45" s="46"/>
      <c r="J45" s="46"/>
      <c r="K45" s="46"/>
      <c r="L45" s="46"/>
    </row>
    <row r="46" spans="1:13" ht="16.5" customHeight="1" x14ac:dyDescent="0.25">
      <c r="A46" s="2429" t="s">
        <v>102</v>
      </c>
      <c r="B46" s="2429"/>
      <c r="C46" s="2429"/>
      <c r="D46" s="46"/>
      <c r="E46" s="46"/>
      <c r="F46" s="46"/>
      <c r="G46" s="46"/>
      <c r="H46" s="46"/>
      <c r="I46" s="46"/>
      <c r="J46" s="46"/>
      <c r="K46" s="46"/>
      <c r="L46" s="46"/>
    </row>
    <row r="47" spans="1:13" ht="15" customHeight="1" x14ac:dyDescent="0.25">
      <c r="A47" s="46"/>
      <c r="B47" s="46"/>
      <c r="C47" s="46"/>
      <c r="D47" s="46"/>
      <c r="E47" s="46"/>
      <c r="F47" s="46"/>
      <c r="G47" s="46"/>
      <c r="H47" s="46"/>
      <c r="I47" s="46"/>
      <c r="J47" s="46"/>
      <c r="K47" s="46"/>
      <c r="L47" s="46"/>
    </row>
    <row r="48" spans="1:13" ht="16.5" customHeight="1" x14ac:dyDescent="0.25">
      <c r="A48" s="45"/>
      <c r="B48" s="2482" t="s">
        <v>1928</v>
      </c>
      <c r="C48" s="2482"/>
      <c r="D48" s="2482"/>
      <c r="E48" s="2482"/>
      <c r="F48" s="2482"/>
      <c r="G48" s="2482"/>
      <c r="H48" s="2482"/>
      <c r="I48" s="2482"/>
      <c r="J48" s="45"/>
      <c r="K48" s="45"/>
      <c r="L48" s="46"/>
    </row>
    <row r="49" spans="1:12" x14ac:dyDescent="0.25">
      <c r="A49" s="45"/>
      <c r="B49" s="862"/>
      <c r="C49" s="862"/>
      <c r="D49" s="862"/>
      <c r="E49" s="862"/>
      <c r="F49" s="862"/>
      <c r="G49" s="862"/>
      <c r="H49" s="862"/>
      <c r="I49" s="862"/>
      <c r="J49" s="45"/>
      <c r="K49" s="45"/>
      <c r="L49" s="46"/>
    </row>
    <row r="50" spans="1:12" x14ac:dyDescent="0.25">
      <c r="A50" s="45"/>
      <c r="B50" s="860" t="s">
        <v>1747</v>
      </c>
      <c r="C50" s="862"/>
      <c r="D50" s="862"/>
      <c r="E50" s="862"/>
      <c r="F50" s="862"/>
      <c r="G50" s="862"/>
      <c r="H50" s="862"/>
      <c r="I50" s="862"/>
      <c r="J50" s="45"/>
      <c r="K50" s="45"/>
      <c r="L50" s="46"/>
    </row>
    <row r="51" spans="1:12" ht="14.25" customHeight="1" x14ac:dyDescent="0.25">
      <c r="A51" s="45"/>
      <c r="B51" s="862"/>
      <c r="C51" s="862"/>
      <c r="D51" s="862"/>
      <c r="E51" s="862"/>
      <c r="F51" s="862"/>
      <c r="G51" s="862"/>
      <c r="H51" s="862"/>
      <c r="I51" s="862"/>
      <c r="J51" s="45"/>
      <c r="K51" s="45"/>
      <c r="L51" s="46"/>
    </row>
    <row r="52" spans="1:12" ht="18" customHeight="1" x14ac:dyDescent="0.25">
      <c r="A52" s="45"/>
      <c r="B52" s="1648" t="str">
        <f>IF('Project information'!C7="Certification stage","• Has an on-going commissioning plan been prepared?","• Will an on-going commissioning plan be prepared?")</f>
        <v>• Has an on-going commissioning plan been prepared?</v>
      </c>
      <c r="C52" s="1649"/>
      <c r="D52" s="1650"/>
      <c r="E52" s="1053" t="s">
        <v>53</v>
      </c>
      <c r="F52" s="45"/>
      <c r="G52" s="45"/>
      <c r="H52" s="45"/>
      <c r="I52" s="45"/>
      <c r="J52" s="45"/>
      <c r="K52" s="45"/>
      <c r="L52" s="46"/>
    </row>
    <row r="53" spans="1:12" ht="16.5" customHeight="1" x14ac:dyDescent="0.25">
      <c r="A53" s="45"/>
      <c r="B53" s="46"/>
      <c r="C53" s="46"/>
      <c r="D53" s="46"/>
      <c r="E53" s="45"/>
      <c r="F53" s="45"/>
      <c r="G53" s="45"/>
      <c r="H53" s="45"/>
      <c r="I53" s="45"/>
      <c r="J53" s="45"/>
      <c r="K53" s="45"/>
      <c r="L53" s="46"/>
    </row>
    <row r="54" spans="1:12" ht="16.5" customHeight="1" x14ac:dyDescent="0.25">
      <c r="A54" s="45"/>
      <c r="B54" s="2445" t="s">
        <v>1412</v>
      </c>
      <c r="C54" s="2446"/>
      <c r="D54" s="2446"/>
      <c r="E54" s="2446"/>
      <c r="F54" s="2446"/>
      <c r="G54" s="2446"/>
      <c r="H54" s="2446"/>
      <c r="I54" s="2446"/>
      <c r="J54" s="45"/>
      <c r="K54" s="45"/>
      <c r="L54" s="46"/>
    </row>
    <row r="55" spans="1:12" ht="42" customHeight="1" x14ac:dyDescent="0.25">
      <c r="A55" s="45"/>
      <c r="B55" s="2483"/>
      <c r="C55" s="2484"/>
      <c r="D55" s="2484"/>
      <c r="E55" s="2484"/>
      <c r="F55" s="2484"/>
      <c r="G55" s="2484"/>
      <c r="H55" s="2484"/>
      <c r="I55" s="2484"/>
      <c r="J55" s="45"/>
      <c r="K55" s="45"/>
      <c r="L55" s="46"/>
    </row>
    <row r="56" spans="1:12" ht="16.5" customHeight="1" x14ac:dyDescent="0.25">
      <c r="A56" s="45"/>
      <c r="B56" s="46"/>
      <c r="C56" s="46"/>
      <c r="D56" s="46"/>
      <c r="E56" s="45"/>
      <c r="F56" s="45"/>
      <c r="G56" s="45"/>
      <c r="H56" s="45"/>
      <c r="I56" s="45"/>
      <c r="J56" s="45"/>
      <c r="K56" s="45"/>
      <c r="L56" s="46"/>
    </row>
    <row r="57" spans="1:12" ht="16.5" customHeight="1" x14ac:dyDescent="0.25">
      <c r="A57" s="45"/>
      <c r="B57" s="2445" t="s">
        <v>1413</v>
      </c>
      <c r="C57" s="2446"/>
      <c r="D57" s="2446"/>
      <c r="E57" s="2446"/>
      <c r="F57" s="2446"/>
      <c r="G57" s="2446"/>
      <c r="H57" s="2446"/>
      <c r="I57" s="2446"/>
      <c r="J57" s="45"/>
      <c r="K57" s="45"/>
      <c r="L57" s="46"/>
    </row>
    <row r="58" spans="1:12" ht="42" customHeight="1" x14ac:dyDescent="0.25">
      <c r="A58" s="45"/>
      <c r="B58" s="2483"/>
      <c r="C58" s="2484"/>
      <c r="D58" s="2484"/>
      <c r="E58" s="2484"/>
      <c r="F58" s="2484"/>
      <c r="G58" s="2484"/>
      <c r="H58" s="2484"/>
      <c r="I58" s="2484"/>
      <c r="J58" s="45"/>
      <c r="K58" s="45"/>
      <c r="L58" s="46"/>
    </row>
    <row r="59" spans="1:12" ht="16.5" customHeight="1" x14ac:dyDescent="0.25">
      <c r="A59" s="45"/>
      <c r="B59" s="45"/>
      <c r="C59" s="45"/>
      <c r="D59" s="45"/>
      <c r="E59" s="45"/>
      <c r="F59" s="45"/>
      <c r="G59" s="45"/>
      <c r="H59" s="45"/>
      <c r="I59" s="45"/>
      <c r="J59" s="45"/>
      <c r="K59" s="45"/>
      <c r="L59" s="46"/>
    </row>
    <row r="60" spans="1:12" ht="16.5" customHeight="1" x14ac:dyDescent="0.25">
      <c r="A60" s="45"/>
      <c r="B60" s="2445" t="s">
        <v>1414</v>
      </c>
      <c r="C60" s="2446"/>
      <c r="D60" s="2446"/>
      <c r="E60" s="2446"/>
      <c r="F60" s="2446"/>
      <c r="G60" s="2446"/>
      <c r="H60" s="2446"/>
      <c r="I60" s="2446"/>
      <c r="J60" s="45"/>
      <c r="K60" s="45"/>
      <c r="L60" s="46"/>
    </row>
    <row r="61" spans="1:12" ht="42" customHeight="1" x14ac:dyDescent="0.25">
      <c r="A61" s="45"/>
      <c r="B61" s="2483"/>
      <c r="C61" s="2484"/>
      <c r="D61" s="2484"/>
      <c r="E61" s="2484"/>
      <c r="F61" s="2484"/>
      <c r="G61" s="2484"/>
      <c r="H61" s="2484"/>
      <c r="I61" s="2484"/>
      <c r="J61" s="45"/>
      <c r="K61" s="45"/>
      <c r="L61" s="46"/>
    </row>
    <row r="62" spans="1:12" ht="16.5" customHeight="1" x14ac:dyDescent="0.25">
      <c r="A62" s="45"/>
      <c r="B62" s="45"/>
      <c r="C62" s="45"/>
      <c r="D62" s="45"/>
      <c r="E62" s="45"/>
      <c r="F62" s="45"/>
      <c r="G62" s="45"/>
      <c r="H62" s="45"/>
      <c r="I62" s="45"/>
      <c r="J62" s="45"/>
      <c r="K62" s="45"/>
      <c r="L62" s="46"/>
    </row>
    <row r="63" spans="1:12" ht="18" customHeight="1" x14ac:dyDescent="0.25">
      <c r="A63" s="45"/>
      <c r="B63" s="2485" t="s">
        <v>1415</v>
      </c>
      <c r="C63" s="2486"/>
      <c r="D63" s="116" t="str">
        <f>IF(E52="Yes",IF(AND(B55&lt;&gt;"",B58&lt;&gt;"",B61&lt;&gt;""),"Yes","No"),"No")</f>
        <v>No</v>
      </c>
      <c r="E63" s="45"/>
      <c r="F63" s="45"/>
      <c r="G63" s="45"/>
      <c r="H63" s="45"/>
      <c r="I63" s="45"/>
      <c r="J63" s="45"/>
      <c r="K63" s="45"/>
      <c r="L63" s="46"/>
    </row>
    <row r="64" spans="1:12" ht="19.5" customHeight="1" x14ac:dyDescent="0.25">
      <c r="A64" s="46"/>
      <c r="B64" s="46"/>
      <c r="C64" s="46"/>
      <c r="D64" s="46"/>
      <c r="E64" s="46"/>
      <c r="F64" s="46"/>
      <c r="G64" s="46"/>
      <c r="H64" s="46"/>
      <c r="I64" s="46"/>
      <c r="J64" s="46"/>
      <c r="K64" s="46"/>
      <c r="L64" s="46"/>
    </row>
    <row r="65" spans="1:13" ht="16.5" customHeight="1" x14ac:dyDescent="0.25">
      <c r="A65" s="2429" t="s">
        <v>84</v>
      </c>
      <c r="B65" s="2429"/>
      <c r="C65" s="2429"/>
      <c r="D65" s="46"/>
      <c r="E65" s="46"/>
      <c r="F65" s="46"/>
      <c r="G65" s="46"/>
      <c r="H65" s="46"/>
      <c r="I65" s="46"/>
      <c r="J65" s="46"/>
      <c r="K65" s="46"/>
      <c r="L65" s="46"/>
    </row>
    <row r="66" spans="1:13" ht="15" customHeight="1" x14ac:dyDescent="0.25">
      <c r="A66" s="45"/>
      <c r="B66" s="46"/>
      <c r="C66" s="46"/>
      <c r="D66" s="46"/>
      <c r="E66" s="46"/>
      <c r="F66" s="46"/>
      <c r="G66" s="46"/>
      <c r="H66" s="46"/>
      <c r="I66" s="46"/>
      <c r="J66" s="46"/>
      <c r="K66" s="46"/>
      <c r="L66" s="46"/>
    </row>
    <row r="67" spans="1:13" ht="18" customHeight="1" x14ac:dyDescent="0.25">
      <c r="A67" s="45"/>
      <c r="B67" s="2419" t="s">
        <v>1530</v>
      </c>
      <c r="C67" s="2420"/>
      <c r="D67" s="2420"/>
      <c r="E67" s="2420"/>
      <c r="F67" s="2420"/>
      <c r="G67" s="1030" t="s">
        <v>907</v>
      </c>
      <c r="H67" s="2493" t="s">
        <v>908</v>
      </c>
      <c r="I67" s="2494"/>
      <c r="J67" s="45"/>
      <c r="K67" s="45"/>
      <c r="L67" s="45"/>
    </row>
    <row r="68" spans="1:13" ht="24" customHeight="1" x14ac:dyDescent="0.25">
      <c r="A68" s="45"/>
      <c r="B68" s="1648" t="str">
        <f>Submittals!G160</f>
        <v>• Signed letter of intent from the tenant that the on-going commissioning plan will be followed</v>
      </c>
      <c r="C68" s="1649"/>
      <c r="D68" s="1649"/>
      <c r="E68" s="1649"/>
      <c r="F68" s="1650"/>
      <c r="G68" s="1027" t="s">
        <v>53</v>
      </c>
      <c r="H68" s="1651"/>
      <c r="I68" s="1652"/>
      <c r="J68" s="45"/>
      <c r="K68" s="45"/>
      <c r="L68" s="45"/>
      <c r="M68" s="35" t="str">
        <f>IF(OR(B68="/",B68="No evidence required at this submission stage"),"Yes",IF(G68="Submitted","Yes","No"))</f>
        <v>No</v>
      </c>
    </row>
    <row r="69" spans="1:13" ht="24" hidden="1" customHeight="1" x14ac:dyDescent="0.25">
      <c r="A69" s="45"/>
      <c r="B69" s="1648">
        <f>Submittals!G161</f>
        <v>0</v>
      </c>
      <c r="C69" s="1649"/>
      <c r="D69" s="1649"/>
      <c r="E69" s="1649"/>
      <c r="F69" s="1650"/>
      <c r="G69" s="1027" t="s">
        <v>53</v>
      </c>
      <c r="H69" s="1651"/>
      <c r="I69" s="1652"/>
      <c r="J69" s="45"/>
      <c r="K69" s="45"/>
      <c r="L69" s="45"/>
      <c r="M69" s="35" t="str">
        <f>IF(OR(B69="/",B69="No evidence required at this submission stage"),"Yes",IF(G69="Submitted","Yes","No"))</f>
        <v>No</v>
      </c>
    </row>
    <row r="70" spans="1:13" ht="19.5" customHeight="1" x14ac:dyDescent="0.25">
      <c r="A70" s="45"/>
      <c r="B70" s="46"/>
      <c r="C70" s="46"/>
      <c r="D70" s="46"/>
      <c r="E70" s="45"/>
      <c r="F70" s="45"/>
      <c r="G70" s="45"/>
      <c r="H70" s="45"/>
      <c r="I70" s="45"/>
      <c r="J70" s="45"/>
      <c r="K70" s="45"/>
      <c r="L70" s="45"/>
    </row>
    <row r="71" spans="1:13" ht="16.5" customHeight="1" x14ac:dyDescent="0.25">
      <c r="A71" s="2429" t="s">
        <v>5</v>
      </c>
      <c r="B71" s="2429"/>
      <c r="C71" s="2429"/>
      <c r="D71" s="46"/>
      <c r="E71" s="46"/>
      <c r="F71" s="46"/>
      <c r="G71" s="46"/>
      <c r="H71" s="46"/>
      <c r="I71" s="46"/>
      <c r="J71" s="46"/>
      <c r="K71" s="46"/>
      <c r="L71" s="46"/>
    </row>
    <row r="72" spans="1:13" ht="15" customHeight="1" x14ac:dyDescent="0.25">
      <c r="A72" s="46"/>
      <c r="B72" s="46"/>
      <c r="C72" s="46"/>
      <c r="D72" s="46"/>
      <c r="E72" s="46"/>
      <c r="F72" s="46"/>
      <c r="G72" s="46"/>
      <c r="H72" s="46"/>
      <c r="I72" s="46"/>
      <c r="J72" s="46"/>
      <c r="K72" s="46"/>
      <c r="L72" s="46"/>
    </row>
    <row r="73" spans="1:13" ht="18" customHeight="1" x14ac:dyDescent="0.25">
      <c r="A73" s="46"/>
      <c r="B73" s="1040" t="s">
        <v>16</v>
      </c>
      <c r="C73" s="8">
        <f>IF('Man-2 Commissioning'!G12=0,0,IF(D63="Yes",1,0))</f>
        <v>0</v>
      </c>
      <c r="D73" s="46"/>
      <c r="E73" s="46"/>
      <c r="F73" s="46"/>
      <c r="G73" s="46"/>
      <c r="H73" s="46"/>
      <c r="I73" s="46"/>
      <c r="J73" s="46"/>
      <c r="K73" s="46"/>
      <c r="L73" s="46"/>
    </row>
    <row r="74" spans="1:13" ht="18" customHeight="1" x14ac:dyDescent="0.25">
      <c r="A74" s="46"/>
      <c r="B74" s="1040" t="s">
        <v>133</v>
      </c>
      <c r="C74" s="108" t="str">
        <f>IF(AND(COUNTIF(M68:M68,"Yes")=1,C73&gt;0),"Yes","No")</f>
        <v>No</v>
      </c>
      <c r="D74" s="46"/>
      <c r="E74" s="46"/>
      <c r="F74" s="46"/>
      <c r="G74" s="46"/>
      <c r="H74" s="46"/>
      <c r="I74" s="46"/>
      <c r="J74" s="46"/>
      <c r="K74" s="46"/>
      <c r="L74" s="46"/>
    </row>
    <row r="75" spans="1:13" ht="21" customHeight="1" x14ac:dyDescent="0.25">
      <c r="A75" s="46"/>
      <c r="B75" s="46"/>
      <c r="C75" s="46"/>
      <c r="D75" s="46"/>
      <c r="E75" s="46"/>
      <c r="F75" s="45"/>
      <c r="G75" s="45"/>
      <c r="H75" s="45"/>
      <c r="I75" s="45"/>
      <c r="J75" s="45"/>
      <c r="K75" s="45"/>
      <c r="L75" s="45"/>
    </row>
    <row r="76" spans="1:13" ht="18" customHeight="1" x14ac:dyDescent="0.25">
      <c r="A76" s="2431" t="s">
        <v>1745</v>
      </c>
      <c r="B76" s="2431"/>
      <c r="C76" s="2431"/>
      <c r="D76" s="2431"/>
      <c r="E76" s="2431"/>
      <c r="F76" s="2431"/>
      <c r="G76" s="2431"/>
      <c r="H76" s="2431"/>
      <c r="I76" s="2431"/>
      <c r="J76" s="2431"/>
      <c r="K76" s="2431"/>
      <c r="L76" s="2431"/>
    </row>
    <row r="77" spans="1:13" ht="15" customHeight="1" x14ac:dyDescent="0.25">
      <c r="A77" s="46"/>
      <c r="B77" s="46"/>
      <c r="C77" s="46"/>
      <c r="D77" s="46"/>
      <c r="E77" s="46"/>
      <c r="F77" s="46"/>
      <c r="G77" s="46"/>
      <c r="H77" s="46"/>
      <c r="I77" s="46"/>
      <c r="J77" s="46"/>
      <c r="K77" s="46"/>
      <c r="L77" s="46"/>
    </row>
    <row r="78" spans="1:13" ht="16.5" customHeight="1" x14ac:dyDescent="0.25">
      <c r="A78" s="2429" t="s">
        <v>102</v>
      </c>
      <c r="B78" s="2429"/>
      <c r="C78" s="2429"/>
      <c r="D78" s="46"/>
      <c r="E78" s="46"/>
      <c r="F78" s="46"/>
      <c r="G78" s="46"/>
      <c r="H78" s="46"/>
      <c r="I78" s="46"/>
      <c r="J78" s="46"/>
      <c r="K78" s="46"/>
      <c r="L78" s="46"/>
    </row>
    <row r="79" spans="1:13" x14ac:dyDescent="0.25">
      <c r="A79" s="45"/>
      <c r="B79" s="46"/>
      <c r="C79" s="46"/>
      <c r="D79" s="46"/>
      <c r="E79" s="46"/>
      <c r="F79" s="45"/>
      <c r="G79" s="45"/>
      <c r="H79" s="45"/>
      <c r="I79" s="45"/>
      <c r="J79" s="45"/>
      <c r="K79" s="45"/>
      <c r="L79" s="46"/>
    </row>
    <row r="80" spans="1:13" x14ac:dyDescent="0.25">
      <c r="A80" s="45"/>
      <c r="B80" s="565" t="s">
        <v>1833</v>
      </c>
      <c r="C80" s="46"/>
      <c r="D80" s="46"/>
      <c r="E80" s="46"/>
      <c r="F80" s="45"/>
      <c r="G80" s="45"/>
      <c r="H80" s="45"/>
      <c r="I80" s="45"/>
      <c r="J80" s="45"/>
      <c r="K80" s="45"/>
      <c r="L80" s="46"/>
    </row>
    <row r="81" spans="1:13" x14ac:dyDescent="0.25">
      <c r="A81" s="45"/>
      <c r="B81" s="575"/>
      <c r="C81" s="575"/>
      <c r="D81" s="575"/>
      <c r="E81" s="575"/>
      <c r="F81" s="575"/>
      <c r="G81" s="575"/>
      <c r="H81" s="575"/>
      <c r="I81" s="575"/>
      <c r="J81" s="45"/>
      <c r="K81" s="45"/>
      <c r="L81" s="46"/>
    </row>
    <row r="82" spans="1:13" x14ac:dyDescent="0.25">
      <c r="A82" s="45"/>
      <c r="B82" s="860" t="s">
        <v>1747</v>
      </c>
      <c r="C82" s="862"/>
      <c r="D82" s="862"/>
      <c r="E82" s="862"/>
      <c r="F82" s="862"/>
      <c r="G82" s="862"/>
      <c r="H82" s="862"/>
      <c r="I82" s="862"/>
      <c r="J82" s="45"/>
      <c r="K82" s="45"/>
      <c r="L82" s="45"/>
    </row>
    <row r="83" spans="1:13" ht="14.25" customHeight="1" x14ac:dyDescent="0.25">
      <c r="A83" s="45"/>
      <c r="B83" s="862"/>
      <c r="C83" s="862"/>
      <c r="D83" s="862"/>
      <c r="E83" s="862"/>
      <c r="F83" s="862"/>
      <c r="G83" s="862"/>
      <c r="H83" s="862"/>
      <c r="I83" s="862"/>
      <c r="J83" s="45"/>
      <c r="K83" s="45"/>
      <c r="L83" s="45"/>
    </row>
    <row r="84" spans="1:13" ht="40.5" customHeight="1" x14ac:dyDescent="0.25">
      <c r="A84" s="45"/>
      <c r="B84" s="2479" t="s">
        <v>1835</v>
      </c>
      <c r="C84" s="2480"/>
      <c r="D84" s="2480"/>
      <c r="E84" s="2480"/>
      <c r="F84" s="2480"/>
      <c r="G84" s="2480"/>
      <c r="H84" s="2480"/>
      <c r="I84" s="2481"/>
      <c r="J84" s="45"/>
      <c r="K84" s="45"/>
      <c r="L84" s="45"/>
    </row>
    <row r="85" spans="1:13" ht="39" customHeight="1" x14ac:dyDescent="0.25">
      <c r="A85" s="45"/>
      <c r="B85" s="2470" t="s">
        <v>1834</v>
      </c>
      <c r="C85" s="2471"/>
      <c r="D85" s="2471"/>
      <c r="E85" s="2471"/>
      <c r="F85" s="2471"/>
      <c r="G85" s="2471"/>
      <c r="H85" s="2471"/>
      <c r="I85" s="2472"/>
      <c r="J85" s="45"/>
      <c r="K85" s="45"/>
      <c r="L85" s="45"/>
    </row>
    <row r="86" spans="1:13" ht="18.75" customHeight="1" x14ac:dyDescent="0.25">
      <c r="A86" s="45"/>
      <c r="B86" s="46"/>
      <c r="C86" s="46"/>
      <c r="D86" s="46"/>
      <c r="E86" s="46"/>
      <c r="F86" s="45"/>
      <c r="G86" s="45"/>
      <c r="H86" s="45"/>
      <c r="I86" s="45"/>
      <c r="J86" s="45"/>
      <c r="K86" s="45"/>
      <c r="L86" s="45"/>
    </row>
    <row r="87" spans="1:13" x14ac:dyDescent="0.25">
      <c r="A87" s="45"/>
      <c r="B87" s="2340" t="s">
        <v>1836</v>
      </c>
      <c r="C87" s="2341"/>
      <c r="D87" s="2341"/>
      <c r="E87" s="2341"/>
      <c r="F87" s="2341"/>
      <c r="G87" s="2341"/>
      <c r="H87" s="2341"/>
      <c r="I87" s="2342"/>
      <c r="J87" s="45"/>
      <c r="K87" s="45"/>
      <c r="L87" s="46"/>
    </row>
    <row r="88" spans="1:13" x14ac:dyDescent="0.25">
      <c r="A88" s="45"/>
      <c r="B88" s="1782" t="s">
        <v>1838</v>
      </c>
      <c r="C88" s="1783"/>
      <c r="D88" s="1783"/>
      <c r="E88" s="1783"/>
      <c r="F88" s="1783"/>
      <c r="G88" s="1783"/>
      <c r="H88" s="1783"/>
      <c r="I88" s="1784"/>
      <c r="J88" s="45"/>
      <c r="K88" s="45"/>
      <c r="L88" s="46"/>
    </row>
    <row r="89" spans="1:13" ht="27" customHeight="1" x14ac:dyDescent="0.25">
      <c r="A89" s="45"/>
      <c r="B89" s="2495" t="s">
        <v>1837</v>
      </c>
      <c r="C89" s="2496"/>
      <c r="D89" s="2496"/>
      <c r="E89" s="2496"/>
      <c r="F89" s="2496"/>
      <c r="G89" s="2496"/>
      <c r="H89" s="2496"/>
      <c r="I89" s="2497"/>
      <c r="J89" s="45"/>
      <c r="K89" s="45"/>
      <c r="L89" s="46"/>
    </row>
    <row r="90" spans="1:13" ht="27" customHeight="1" x14ac:dyDescent="0.25">
      <c r="A90" s="45"/>
      <c r="B90" s="2470" t="s">
        <v>1839</v>
      </c>
      <c r="C90" s="2471"/>
      <c r="D90" s="2471"/>
      <c r="E90" s="2471"/>
      <c r="F90" s="2471"/>
      <c r="G90" s="2471"/>
      <c r="H90" s="2471"/>
      <c r="I90" s="2472"/>
      <c r="J90" s="45"/>
      <c r="K90" s="45"/>
      <c r="L90" s="46"/>
    </row>
    <row r="91" spans="1:13" ht="16.5" customHeight="1" x14ac:dyDescent="0.25">
      <c r="A91" s="45"/>
      <c r="B91" s="45"/>
      <c r="C91" s="45"/>
      <c r="D91" s="45"/>
      <c r="E91" s="45"/>
      <c r="F91" s="45"/>
      <c r="G91" s="45"/>
      <c r="H91" s="45"/>
      <c r="I91" s="45"/>
      <c r="J91" s="45"/>
      <c r="K91" s="45"/>
      <c r="L91" s="46"/>
      <c r="M91" s="53"/>
    </row>
    <row r="92" spans="1:13" ht="18" customHeight="1" x14ac:dyDescent="0.25">
      <c r="A92" s="45"/>
      <c r="B92" s="535" t="s">
        <v>1756</v>
      </c>
      <c r="C92" s="45"/>
      <c r="D92" s="45"/>
      <c r="E92" s="45"/>
      <c r="F92" s="45"/>
      <c r="G92" s="45"/>
      <c r="H92" s="45"/>
      <c r="I92" s="45"/>
      <c r="J92" s="45"/>
      <c r="K92" s="45"/>
      <c r="L92" s="46"/>
      <c r="M92" s="53"/>
    </row>
    <row r="93" spans="1:13" ht="12" customHeight="1" x14ac:dyDescent="0.25">
      <c r="A93" s="45"/>
      <c r="B93" s="112"/>
      <c r="C93" s="46"/>
      <c r="D93" s="46"/>
      <c r="E93" s="46"/>
      <c r="F93" s="45"/>
      <c r="G93" s="45"/>
      <c r="H93" s="45"/>
      <c r="I93" s="45"/>
      <c r="J93" s="45"/>
      <c r="K93" s="45"/>
      <c r="L93" s="46"/>
      <c r="M93" s="53"/>
    </row>
    <row r="94" spans="1:13" ht="19.5" customHeight="1" x14ac:dyDescent="0.25">
      <c r="A94" s="45"/>
      <c r="B94" s="1954" t="str">
        <f>IF('Project information'!C7="Certification stage","• Has an independent commissioning agent been hired?","• Will an independent commissioning agent be hired?")</f>
        <v>• Has an independent commissioning agent been hired?</v>
      </c>
      <c r="C94" s="1955"/>
      <c r="D94" s="2334"/>
      <c r="E94" s="1053" t="s">
        <v>53</v>
      </c>
      <c r="F94" s="45"/>
      <c r="G94" s="45"/>
      <c r="H94" s="45"/>
      <c r="I94" s="45"/>
      <c r="J94" s="45"/>
      <c r="K94" s="45"/>
      <c r="L94" s="46"/>
      <c r="M94" s="53"/>
    </row>
    <row r="95" spans="1:13" ht="15" customHeight="1" x14ac:dyDescent="0.25">
      <c r="A95" s="45"/>
      <c r="B95" s="45"/>
      <c r="C95" s="45"/>
      <c r="D95" s="45"/>
      <c r="E95" s="45"/>
      <c r="F95" s="45"/>
      <c r="G95" s="45"/>
      <c r="H95" s="45"/>
      <c r="I95" s="45"/>
      <c r="J95" s="45"/>
      <c r="K95" s="45"/>
      <c r="L95" s="46"/>
      <c r="M95" s="53"/>
    </row>
    <row r="96" spans="1:13" ht="18" customHeight="1" x14ac:dyDescent="0.25">
      <c r="A96" s="45"/>
      <c r="B96" s="2419" t="s">
        <v>1265</v>
      </c>
      <c r="C96" s="2420"/>
      <c r="D96" s="2420"/>
      <c r="E96" s="2420"/>
      <c r="F96" s="45"/>
      <c r="G96" s="45"/>
      <c r="H96" s="45"/>
      <c r="I96" s="45"/>
      <c r="J96" s="45"/>
      <c r="K96" s="45"/>
      <c r="L96" s="46"/>
    </row>
    <row r="97" spans="1:13" ht="18" customHeight="1" x14ac:dyDescent="0.25">
      <c r="A97" s="45"/>
      <c r="B97" s="1648" t="str">
        <f>IF('Project information'!C7="Certification stage","• Have owner's project requirements been produced?","• Will owner's project requirements be produced?")</f>
        <v>• Have owner's project requirements been produced?</v>
      </c>
      <c r="C97" s="1649"/>
      <c r="D97" s="1650"/>
      <c r="E97" s="751" t="s">
        <v>53</v>
      </c>
      <c r="F97" s="45"/>
      <c r="G97" s="45"/>
      <c r="H97" s="45"/>
      <c r="I97" s="45"/>
      <c r="J97" s="45"/>
      <c r="K97" s="45"/>
      <c r="L97" s="46"/>
    </row>
    <row r="98" spans="1:13" ht="18" customHeight="1" x14ac:dyDescent="0.25">
      <c r="A98" s="45"/>
      <c r="B98" s="1648" t="str">
        <f>IF('Project information'!C7="Certification stage","• Has a basis of design been produced?","• Will a basis of design be produced?")</f>
        <v>• Has a basis of design been produced?</v>
      </c>
      <c r="C98" s="1649"/>
      <c r="D98" s="1650"/>
      <c r="E98" s="825" t="s">
        <v>53</v>
      </c>
      <c r="F98" s="45"/>
      <c r="G98" s="45"/>
      <c r="H98" s="45"/>
      <c r="I98" s="45"/>
      <c r="J98" s="45"/>
      <c r="K98" s="45"/>
      <c r="L98" s="46"/>
    </row>
    <row r="99" spans="1:13" ht="16.5" customHeight="1" x14ac:dyDescent="0.25">
      <c r="A99" s="45"/>
      <c r="B99" s="45"/>
      <c r="C99" s="45"/>
      <c r="D99" s="45"/>
      <c r="E99" s="830"/>
      <c r="F99" s="45"/>
      <c r="G99" s="45"/>
      <c r="H99" s="45"/>
      <c r="I99" s="45"/>
      <c r="J99" s="45"/>
      <c r="K99" s="45"/>
      <c r="L99" s="46"/>
    </row>
    <row r="100" spans="1:13" x14ac:dyDescent="0.25">
      <c r="A100" s="45"/>
      <c r="B100" s="625" t="s">
        <v>891</v>
      </c>
      <c r="C100" s="1057"/>
      <c r="D100" s="1057"/>
      <c r="E100" s="1057"/>
      <c r="F100" s="45"/>
      <c r="G100" s="45"/>
      <c r="H100" s="45"/>
      <c r="I100" s="45"/>
      <c r="J100" s="45"/>
      <c r="K100" s="45"/>
      <c r="L100" s="46"/>
      <c r="M100" s="53"/>
    </row>
    <row r="101" spans="1:13" ht="18" customHeight="1" x14ac:dyDescent="0.25">
      <c r="A101" s="45"/>
      <c r="B101" s="2432" t="s">
        <v>892</v>
      </c>
      <c r="C101" s="2487"/>
      <c r="D101" s="1689"/>
      <c r="E101" s="1690"/>
      <c r="F101" s="45"/>
      <c r="G101" s="45"/>
      <c r="H101" s="45"/>
      <c r="I101" s="45"/>
      <c r="J101" s="45"/>
      <c r="K101" s="45"/>
      <c r="L101" s="46"/>
      <c r="M101" s="53"/>
    </row>
    <row r="102" spans="1:13" ht="18" customHeight="1" x14ac:dyDescent="0.25">
      <c r="A102" s="45"/>
      <c r="B102" s="2432" t="s">
        <v>894</v>
      </c>
      <c r="C102" s="2487"/>
      <c r="D102" s="1051"/>
      <c r="E102" s="1052"/>
      <c r="F102" s="45"/>
      <c r="G102" s="45"/>
      <c r="H102" s="45"/>
      <c r="I102" s="45"/>
      <c r="J102" s="45"/>
      <c r="K102" s="45"/>
      <c r="L102" s="46"/>
      <c r="M102" s="53"/>
    </row>
    <row r="103" spans="1:13" ht="18" customHeight="1" x14ac:dyDescent="0.25">
      <c r="A103" s="45"/>
      <c r="B103" s="2432" t="s">
        <v>893</v>
      </c>
      <c r="C103" s="2487"/>
      <c r="D103" s="1689"/>
      <c r="E103" s="1690"/>
      <c r="F103" s="45"/>
      <c r="G103" s="45"/>
      <c r="H103" s="45"/>
      <c r="I103" s="45"/>
      <c r="J103" s="45"/>
      <c r="K103" s="45"/>
      <c r="L103" s="46"/>
      <c r="M103" s="53"/>
    </row>
    <row r="104" spans="1:13" ht="18" customHeight="1" x14ac:dyDescent="0.25">
      <c r="A104" s="45"/>
      <c r="B104" s="2432" t="s">
        <v>895</v>
      </c>
      <c r="C104" s="2487"/>
      <c r="D104" s="1689"/>
      <c r="E104" s="1690"/>
      <c r="F104" s="45"/>
      <c r="G104" s="45"/>
      <c r="H104" s="45"/>
      <c r="I104" s="45"/>
      <c r="J104" s="45"/>
      <c r="K104" s="45"/>
      <c r="L104" s="46"/>
      <c r="M104" s="53"/>
    </row>
    <row r="105" spans="1:13" ht="16.5" customHeight="1" x14ac:dyDescent="0.25">
      <c r="A105" s="45"/>
      <c r="B105" s="46"/>
      <c r="C105" s="46"/>
      <c r="D105" s="46"/>
      <c r="E105" s="46"/>
      <c r="F105" s="45"/>
      <c r="G105" s="45"/>
      <c r="H105" s="45"/>
      <c r="I105" s="45"/>
      <c r="J105" s="45"/>
      <c r="K105" s="45"/>
      <c r="L105" s="46"/>
    </row>
    <row r="106" spans="1:13" ht="18" customHeight="1" x14ac:dyDescent="0.25">
      <c r="A106" s="45"/>
      <c r="B106" s="2485" t="s">
        <v>811</v>
      </c>
      <c r="C106" s="2486"/>
      <c r="D106" s="144" t="str">
        <f>IF(AND(E94="Yes",E97="Yes",E98="Yes",D101&lt;&gt;"",D102&lt;&gt;"",D103&lt;&gt;"",D104&lt;&gt;""),"Yes","No")</f>
        <v>No</v>
      </c>
      <c r="E106" s="46"/>
      <c r="F106" s="45"/>
      <c r="G106" s="45"/>
      <c r="H106" s="45"/>
      <c r="I106" s="45"/>
      <c r="J106" s="45"/>
      <c r="K106" s="45"/>
      <c r="L106" s="46"/>
    </row>
    <row r="107" spans="1:13" ht="19.5" customHeight="1" x14ac:dyDescent="0.25">
      <c r="A107" s="46"/>
      <c r="B107" s="46"/>
      <c r="C107" s="46"/>
      <c r="D107" s="46"/>
      <c r="E107" s="46"/>
      <c r="F107" s="46"/>
      <c r="G107" s="46"/>
      <c r="H107" s="46"/>
      <c r="I107" s="46"/>
      <c r="J107" s="46"/>
      <c r="K107" s="46"/>
      <c r="L107" s="46"/>
    </row>
    <row r="108" spans="1:13" ht="16.5" customHeight="1" x14ac:dyDescent="0.25">
      <c r="A108" s="2429" t="s">
        <v>84</v>
      </c>
      <c r="B108" s="2429"/>
      <c r="C108" s="2429"/>
      <c r="D108" s="46"/>
      <c r="E108" s="46"/>
      <c r="F108" s="46"/>
      <c r="G108" s="46"/>
      <c r="H108" s="46"/>
      <c r="I108" s="46"/>
      <c r="J108" s="46"/>
      <c r="K108" s="46"/>
      <c r="L108" s="46"/>
    </row>
    <row r="109" spans="1:13" ht="15" customHeight="1" x14ac:dyDescent="0.25">
      <c r="A109" s="45"/>
      <c r="B109" s="46"/>
      <c r="C109" s="46"/>
      <c r="D109" s="46"/>
      <c r="E109" s="46"/>
      <c r="F109" s="46"/>
      <c r="G109" s="46"/>
      <c r="H109" s="46"/>
      <c r="I109" s="46"/>
      <c r="J109" s="46"/>
      <c r="K109" s="46"/>
      <c r="L109" s="46"/>
    </row>
    <row r="110" spans="1:13" ht="18" customHeight="1" x14ac:dyDescent="0.25">
      <c r="A110" s="45"/>
      <c r="B110" s="2419" t="s">
        <v>1530</v>
      </c>
      <c r="C110" s="2420"/>
      <c r="D110" s="2420"/>
      <c r="E110" s="2420"/>
      <c r="F110" s="2420"/>
      <c r="G110" s="1048" t="s">
        <v>907</v>
      </c>
      <c r="H110" s="2493" t="s">
        <v>908</v>
      </c>
      <c r="I110" s="2494"/>
      <c r="J110" s="45"/>
      <c r="K110" s="45"/>
      <c r="L110" s="45"/>
    </row>
    <row r="111" spans="1:13" ht="24" customHeight="1" x14ac:dyDescent="0.25">
      <c r="A111" s="45"/>
      <c r="B111" s="1648" t="str">
        <f>Submittals!G162</f>
        <v>• Copy of the resume of the commissioning agent</v>
      </c>
      <c r="C111" s="1649"/>
      <c r="D111" s="1649"/>
      <c r="E111" s="1649"/>
      <c r="F111" s="1650"/>
      <c r="G111" s="1046" t="s">
        <v>53</v>
      </c>
      <c r="H111" s="1651"/>
      <c r="I111" s="1652"/>
      <c r="J111" s="45"/>
      <c r="K111" s="45"/>
      <c r="L111" s="45"/>
      <c r="M111" s="35" t="str">
        <f>IF(OR(B111="/",B111="No evidence required at this submission stage"),"Yes",IF(G111="Submitted","Yes","No"))</f>
        <v>No</v>
      </c>
    </row>
    <row r="112" spans="1:13" ht="24" customHeight="1" x14ac:dyDescent="0.25">
      <c r="A112" s="45"/>
      <c r="B112" s="1648" t="str">
        <f>Submittals!G163</f>
        <v>• Copy of the OPR and the BOD</v>
      </c>
      <c r="C112" s="1649"/>
      <c r="D112" s="1649"/>
      <c r="E112" s="1649"/>
      <c r="F112" s="1650"/>
      <c r="G112" s="1197" t="s">
        <v>53</v>
      </c>
      <c r="H112" s="1651"/>
      <c r="I112" s="1652"/>
      <c r="J112" s="45"/>
      <c r="K112" s="45"/>
      <c r="L112" s="45"/>
      <c r="M112" s="35" t="str">
        <f>IF(OR(B112="/",B112="No evidence required at this submission stage"),"Yes",IF(G112="Submitted","Yes","No"))</f>
        <v>No</v>
      </c>
    </row>
    <row r="113" spans="1:13" ht="24" customHeight="1" x14ac:dyDescent="0.25">
      <c r="A113" s="45"/>
      <c r="B113" s="1648" t="str">
        <f>Submittals!G164</f>
        <v>• Evidence showing the involvement of the commissioning agent such as photographs, contract, etc.</v>
      </c>
      <c r="C113" s="1649"/>
      <c r="D113" s="1649"/>
      <c r="E113" s="1649"/>
      <c r="F113" s="1650"/>
      <c r="G113" s="1046" t="s">
        <v>53</v>
      </c>
      <c r="H113" s="1651"/>
      <c r="I113" s="1652"/>
      <c r="J113" s="45"/>
      <c r="K113" s="45"/>
      <c r="L113" s="45"/>
      <c r="M113" s="35" t="str">
        <f>IF(OR(B113="/",B113="No evidence required at this submission stage"),"Yes",IF(G113="Submitted","Yes","No"))</f>
        <v>No</v>
      </c>
    </row>
    <row r="114" spans="1:13" ht="19.5" customHeight="1" x14ac:dyDescent="0.25">
      <c r="A114" s="45"/>
      <c r="B114" s="46"/>
      <c r="C114" s="46"/>
      <c r="D114" s="46"/>
      <c r="E114" s="45"/>
      <c r="F114" s="45"/>
      <c r="G114" s="45"/>
      <c r="H114" s="45"/>
      <c r="I114" s="45"/>
      <c r="J114" s="45"/>
      <c r="K114" s="45"/>
      <c r="L114" s="45"/>
    </row>
    <row r="115" spans="1:13" ht="16.5" customHeight="1" x14ac:dyDescent="0.25">
      <c r="A115" s="2429" t="s">
        <v>5</v>
      </c>
      <c r="B115" s="2429"/>
      <c r="C115" s="2429"/>
      <c r="D115" s="46"/>
      <c r="E115" s="46"/>
      <c r="F115" s="46"/>
      <c r="G115" s="46"/>
      <c r="H115" s="46"/>
      <c r="I115" s="46"/>
      <c r="J115" s="46"/>
      <c r="K115" s="46"/>
      <c r="L115" s="46"/>
    </row>
    <row r="116" spans="1:13" ht="15" customHeight="1" x14ac:dyDescent="0.25">
      <c r="A116" s="46"/>
      <c r="B116" s="46"/>
      <c r="C116" s="46"/>
      <c r="D116" s="46"/>
      <c r="E116" s="46"/>
      <c r="F116" s="46"/>
      <c r="G116" s="46"/>
      <c r="H116" s="46"/>
      <c r="I116" s="46"/>
      <c r="J116" s="46"/>
      <c r="K116" s="46"/>
      <c r="L116" s="46"/>
    </row>
    <row r="117" spans="1:13" ht="18" customHeight="1" x14ac:dyDescent="0.25">
      <c r="A117" s="46"/>
      <c r="B117" s="1040" t="s">
        <v>16</v>
      </c>
      <c r="C117" s="8">
        <f>IF('Man-2 Commissioning'!G12=0,0,IF(D106="Yes",1,0))</f>
        <v>0</v>
      </c>
      <c r="D117" s="46"/>
      <c r="E117" s="46"/>
      <c r="F117" s="46"/>
      <c r="G117" s="46"/>
      <c r="H117" s="46"/>
      <c r="I117" s="46"/>
      <c r="J117" s="46"/>
      <c r="K117" s="46"/>
      <c r="L117" s="46"/>
    </row>
    <row r="118" spans="1:13" ht="18" customHeight="1" x14ac:dyDescent="0.25">
      <c r="A118" s="46"/>
      <c r="B118" s="1040" t="s">
        <v>133</v>
      </c>
      <c r="C118" s="108" t="str">
        <f>IF(AND(COUNTIF(M111:M113,"Yes")=3,C117&gt;0),"Yes","No")</f>
        <v>No</v>
      </c>
      <c r="D118" s="46"/>
      <c r="E118" s="46"/>
      <c r="F118" s="46"/>
      <c r="G118" s="46"/>
      <c r="H118" s="46"/>
      <c r="I118" s="46"/>
      <c r="J118" s="46"/>
      <c r="K118" s="46"/>
      <c r="L118" s="46"/>
    </row>
    <row r="119" spans="1:13" ht="18" customHeight="1" x14ac:dyDescent="0.25">
      <c r="A119" s="46"/>
      <c r="B119" s="46"/>
      <c r="C119" s="46"/>
      <c r="D119" s="46"/>
      <c r="E119" s="46"/>
      <c r="F119" s="46"/>
      <c r="G119" s="46"/>
      <c r="H119" s="46"/>
      <c r="I119" s="46"/>
      <c r="J119" s="46"/>
      <c r="K119" s="46"/>
      <c r="L119" s="46"/>
    </row>
    <row r="120" spans="1:13" ht="15" hidden="1" customHeight="1" x14ac:dyDescent="0.25"/>
    <row r="121" spans="1:13" ht="15" hidden="1" customHeight="1" x14ac:dyDescent="0.25"/>
    <row r="122" spans="1:13" ht="15" hidden="1" customHeight="1" x14ac:dyDescent="0.25"/>
    <row r="123" spans="1:13" ht="15" hidden="1" customHeight="1" x14ac:dyDescent="0.25"/>
    <row r="124" spans="1:13" ht="15" hidden="1" customHeight="1" x14ac:dyDescent="0.25"/>
    <row r="125" spans="1:13" ht="15" hidden="1" customHeight="1" x14ac:dyDescent="0.25"/>
    <row r="126" spans="1:13" ht="15" hidden="1" customHeight="1" x14ac:dyDescent="0.25"/>
    <row r="127" spans="1:13" ht="15" hidden="1" customHeight="1" x14ac:dyDescent="0.25"/>
    <row r="128" spans="1:1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sheetData>
  <sheetProtection algorithmName="SHA-512" hashValue="lwre+MSkLdLsqgzCLltfgrgB3PkADz+HB1KokumFYn5GTm4uwhubbbkZg159BcSpnvljJwNcvD4zuqj8TJVQXg==" saltValue="59uccZrLB1nc8PEMTRo/EA==" spinCount="100000" sheet="1" objects="1" scenarios="1" formatRows="0"/>
  <mergeCells count="77">
    <mergeCell ref="D104:E104"/>
    <mergeCell ref="B106:C106"/>
    <mergeCell ref="H111:I111"/>
    <mergeCell ref="B111:F111"/>
    <mergeCell ref="H113:I113"/>
    <mergeCell ref="B113:F113"/>
    <mergeCell ref="B112:F112"/>
    <mergeCell ref="H112:I112"/>
    <mergeCell ref="A115:C115"/>
    <mergeCell ref="A76:L76"/>
    <mergeCell ref="A78:C78"/>
    <mergeCell ref="A108:C108"/>
    <mergeCell ref="B110:F110"/>
    <mergeCell ref="H110:I110"/>
    <mergeCell ref="B87:I87"/>
    <mergeCell ref="B89:I89"/>
    <mergeCell ref="B90:I90"/>
    <mergeCell ref="B94:D94"/>
    <mergeCell ref="B101:C101"/>
    <mergeCell ref="D101:E101"/>
    <mergeCell ref="B102:C102"/>
    <mergeCell ref="B103:C103"/>
    <mergeCell ref="D103:E103"/>
    <mergeCell ref="B104:C104"/>
    <mergeCell ref="B69:F69"/>
    <mergeCell ref="H69:I69"/>
    <mergeCell ref="A71:C71"/>
    <mergeCell ref="B67:F67"/>
    <mergeCell ref="H67:I67"/>
    <mergeCell ref="B68:F68"/>
    <mergeCell ref="H68:I68"/>
    <mergeCell ref="A33:C33"/>
    <mergeCell ref="B35:F35"/>
    <mergeCell ref="H35:I35"/>
    <mergeCell ref="B36:F36"/>
    <mergeCell ref="H36:I36"/>
    <mergeCell ref="B29:C29"/>
    <mergeCell ref="D29:H29"/>
    <mergeCell ref="B31:C31"/>
    <mergeCell ref="B12:E12"/>
    <mergeCell ref="B14:E14"/>
    <mergeCell ref="A16:L16"/>
    <mergeCell ref="A18:C18"/>
    <mergeCell ref="B25:F25"/>
    <mergeCell ref="B13:E13"/>
    <mergeCell ref="B24:F24"/>
    <mergeCell ref="B27:C27"/>
    <mergeCell ref="D27:E27"/>
    <mergeCell ref="B28:C28"/>
    <mergeCell ref="D28:E28"/>
    <mergeCell ref="B11:E11"/>
    <mergeCell ref="A1:L1"/>
    <mergeCell ref="H2:J4"/>
    <mergeCell ref="A5:L6"/>
    <mergeCell ref="A8:L8"/>
    <mergeCell ref="B10:E10"/>
    <mergeCell ref="B37:F37"/>
    <mergeCell ref="H37:I37"/>
    <mergeCell ref="A65:C65"/>
    <mergeCell ref="A39:C39"/>
    <mergeCell ref="A44:L44"/>
    <mergeCell ref="A46:C46"/>
    <mergeCell ref="B48:I48"/>
    <mergeCell ref="B52:D52"/>
    <mergeCell ref="B54:I54"/>
    <mergeCell ref="B55:I55"/>
    <mergeCell ref="B57:I57"/>
    <mergeCell ref="B58:I58"/>
    <mergeCell ref="B60:I60"/>
    <mergeCell ref="B61:I61"/>
    <mergeCell ref="B63:C63"/>
    <mergeCell ref="B97:D97"/>
    <mergeCell ref="B98:D98"/>
    <mergeCell ref="B96:E96"/>
    <mergeCell ref="B84:I84"/>
    <mergeCell ref="B85:I85"/>
    <mergeCell ref="B88:I88"/>
  </mergeCells>
  <conditionalFormatting sqref="F11:G12">
    <cfRule type="expression" dxfId="25" priority="18">
      <formula>OR(#REF!="No",#REF!="Không")</formula>
    </cfRule>
  </conditionalFormatting>
  <conditionalFormatting sqref="F11:H12">
    <cfRule type="expression" dxfId="24" priority="16">
      <formula>OR($D11="No",$D11="Không")</formula>
    </cfRule>
    <cfRule type="expression" dxfId="23" priority="17">
      <formula>OR(#REF!="No",#REF!="Không")</formula>
    </cfRule>
  </conditionalFormatting>
  <conditionalFormatting sqref="B14">
    <cfRule type="expression" dxfId="22" priority="15">
      <formula>#REF!="Option B"</formula>
    </cfRule>
  </conditionalFormatting>
  <conditionalFormatting sqref="B14">
    <cfRule type="expression" dxfId="21" priority="14">
      <formula>#REF!="No"</formula>
    </cfRule>
  </conditionalFormatting>
  <conditionalFormatting sqref="H11:H12">
    <cfRule type="expression" dxfId="20" priority="13">
      <formula>OR(#REF!="No",#REF!="Không")</formula>
    </cfRule>
  </conditionalFormatting>
  <conditionalFormatting sqref="B12">
    <cfRule type="expression" dxfId="19" priority="12">
      <formula>#REF!="Option B"</formula>
    </cfRule>
  </conditionalFormatting>
  <conditionalFormatting sqref="B12">
    <cfRule type="expression" dxfId="18" priority="11">
      <formula>#REF!="No"</formula>
    </cfRule>
  </conditionalFormatting>
  <conditionalFormatting sqref="B11">
    <cfRule type="expression" dxfId="17" priority="10">
      <formula>#REF!="Option B"</formula>
    </cfRule>
  </conditionalFormatting>
  <conditionalFormatting sqref="B11">
    <cfRule type="expression" dxfId="16" priority="9">
      <formula>#REF!="No"</formula>
    </cfRule>
  </conditionalFormatting>
  <conditionalFormatting sqref="F13:G13">
    <cfRule type="expression" dxfId="15" priority="8">
      <formula>OR(#REF!="No",#REF!="Không")</formula>
    </cfRule>
  </conditionalFormatting>
  <conditionalFormatting sqref="F13:H13">
    <cfRule type="expression" dxfId="14" priority="6">
      <formula>OR($D13="No",$D13="Không")</formula>
    </cfRule>
    <cfRule type="expression" dxfId="13" priority="7">
      <formula>OR(#REF!="No",#REF!="Không")</formula>
    </cfRule>
  </conditionalFormatting>
  <conditionalFormatting sqref="H13">
    <cfRule type="expression" dxfId="12" priority="5">
      <formula>OR(#REF!="No",#REF!="Không")</formula>
    </cfRule>
  </conditionalFormatting>
  <conditionalFormatting sqref="B13">
    <cfRule type="expression" dxfId="11" priority="4">
      <formula>#REF!="Option B"</formula>
    </cfRule>
  </conditionalFormatting>
  <conditionalFormatting sqref="B13">
    <cfRule type="expression" dxfId="10" priority="3">
      <formula>#REF!="No"</formula>
    </cfRule>
  </conditionalFormatting>
  <conditionalFormatting sqref="G25">
    <cfRule type="expression" dxfId="9" priority="1">
      <formula>#REF!&lt;&gt;"Prescriptive Path"</formula>
    </cfRule>
  </conditionalFormatting>
  <conditionalFormatting sqref="G24">
    <cfRule type="expression" dxfId="8" priority="2">
      <formula>#REF!&lt;&gt;"Prescriptive Path"</formula>
    </cfRule>
  </conditionalFormatting>
  <dataValidations count="2">
    <dataValidation type="list" allowBlank="1" showInputMessage="1" showErrorMessage="1" sqref="G36:G37 G68:G69 G111:G113" xr:uid="{00000000-0002-0000-3200-000000000000}">
      <formula1>"Select,Submitted,Not submitted"</formula1>
    </dataValidation>
    <dataValidation type="list" allowBlank="1" showInputMessage="1" showErrorMessage="1" sqref="G24:G25 E52 E97:E98 E94" xr:uid="{00000000-0002-0000-3200-000001000000}">
      <formula1>"Select,Yes,No"</formula1>
    </dataValidation>
  </dataValidations>
  <hyperlinks>
    <hyperlink ref="K2" location="'Man-1 Construction Stage'!B3" tooltip="Man-1" display="Man-1" xr:uid="{00000000-0004-0000-3200-000000000000}"/>
    <hyperlink ref="L3" location="'Man-4 Green Awareness '!B3" tooltip="Man-4" display="Man-4" xr:uid="{00000000-0004-0000-3200-000001000000}"/>
    <hyperlink ref="K4" location="'Man-3 Maintenance'!B3" tooltip="Man-3" display="Man-3" xr:uid="{00000000-0004-0000-3200-000002000000}"/>
    <hyperlink ref="K3" location="'Man-2 Commissioning'!B3" tooltip="Man-2" display="Man-2" xr:uid="{00000000-0004-0000-3200-000003000000}"/>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tabColor rgb="FFFFC000"/>
  </sheetPr>
  <dimension ref="A1:Q54"/>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7109375" customWidth="1"/>
    <col min="4" max="4" width="9.5703125" customWidth="1"/>
    <col min="5" max="5" width="24.28515625" customWidth="1"/>
    <col min="6" max="6" width="23.7109375" customWidth="1"/>
    <col min="7" max="8" width="18.7109375" customWidth="1"/>
    <col min="9" max="9" width="9.42578125" customWidth="1"/>
    <col min="10" max="10" width="8" customWidth="1"/>
    <col min="11" max="11" width="4.7109375" customWidth="1"/>
    <col min="12" max="12" width="4.28515625" customWidth="1"/>
    <col min="13" max="17" width="0" hidden="1" customWidth="1"/>
    <col min="18" max="16384" width="9.140625" hidden="1"/>
  </cols>
  <sheetData>
    <row r="1" spans="1:12" ht="30" customHeight="1" x14ac:dyDescent="0.25">
      <c r="A1" s="214"/>
      <c r="B1" s="2502" t="s">
        <v>2273</v>
      </c>
      <c r="C1" s="215"/>
      <c r="D1" s="178"/>
      <c r="E1" s="179"/>
      <c r="F1" s="179"/>
      <c r="G1" s="179"/>
      <c r="H1" s="179"/>
      <c r="I1" s="179"/>
      <c r="J1" s="179"/>
      <c r="K1" s="179"/>
      <c r="L1" s="180"/>
    </row>
    <row r="2" spans="1:12" ht="28.5" customHeight="1" x14ac:dyDescent="0.25">
      <c r="A2" s="216"/>
      <c r="B2" s="2503"/>
      <c r="C2" s="217"/>
      <c r="D2" s="181"/>
      <c r="E2" s="182"/>
      <c r="F2" s="182"/>
      <c r="G2" s="182"/>
      <c r="H2" s="182"/>
      <c r="I2" s="182"/>
      <c r="J2" s="182"/>
      <c r="K2" s="182"/>
      <c r="L2" s="183"/>
    </row>
    <row r="3" spans="1:12" ht="25.5" customHeight="1" x14ac:dyDescent="0.25">
      <c r="A3" s="216"/>
      <c r="B3" s="2503"/>
      <c r="C3" s="217"/>
      <c r="D3" s="181"/>
      <c r="E3" s="182"/>
      <c r="F3" s="182"/>
      <c r="G3" s="182"/>
      <c r="H3" s="182"/>
      <c r="I3" s="182"/>
      <c r="J3" s="182"/>
      <c r="K3" s="182"/>
      <c r="L3" s="183"/>
    </row>
    <row r="4" spans="1:12" ht="15" customHeight="1" x14ac:dyDescent="0.25">
      <c r="A4" s="216"/>
      <c r="B4" s="2504" t="str">
        <f>IF(A1="","Rewards exceptional performance, well above the LOTUS requirements and recognises innovative solutions which are not specifically adressed by LOTUS","Điểm thưởng cho những biểu hiện vượt trội hơn so với yêu cầu của LOTUS và ghi nhận những điểm đột phá mang lại lợi ích cho môi trường mà LOTUS không đề cập tới.")</f>
        <v>Rewards exceptional performance, well above the LOTUS requirements and recognises innovative solutions which are not specifically adressed by LOTUS</v>
      </c>
      <c r="C4" s="218"/>
      <c r="D4" s="181"/>
      <c r="E4" s="2505" t="s">
        <v>118</v>
      </c>
      <c r="F4" s="2505"/>
      <c r="G4" s="2506" t="s">
        <v>119</v>
      </c>
      <c r="H4" s="2506" t="s">
        <v>16</v>
      </c>
      <c r="I4" s="182"/>
      <c r="J4" s="182"/>
      <c r="K4" s="182"/>
      <c r="L4" s="183"/>
    </row>
    <row r="5" spans="1:12" ht="15" customHeight="1" x14ac:dyDescent="0.25">
      <c r="A5" s="216"/>
      <c r="B5" s="2504"/>
      <c r="C5" s="218"/>
      <c r="D5" s="181"/>
      <c r="E5" s="2505"/>
      <c r="F5" s="2505"/>
      <c r="G5" s="2506"/>
      <c r="H5" s="2506"/>
      <c r="I5" s="182"/>
      <c r="J5" s="182"/>
      <c r="K5" s="182"/>
      <c r="L5" s="183"/>
    </row>
    <row r="6" spans="1:12" ht="23.25" customHeight="1" x14ac:dyDescent="0.25">
      <c r="A6" s="216"/>
      <c r="B6" s="2504"/>
      <c r="C6" s="218"/>
      <c r="D6" s="181"/>
      <c r="E6" s="2507" t="s">
        <v>2410</v>
      </c>
      <c r="F6" s="2508"/>
      <c r="G6" s="2500">
        <v>4</v>
      </c>
      <c r="H6" s="96">
        <f>'EP-1 Enhanced Performance '!G12</f>
        <v>0</v>
      </c>
      <c r="I6" s="182"/>
      <c r="J6" s="182"/>
      <c r="K6" s="182"/>
      <c r="L6" s="183"/>
    </row>
    <row r="7" spans="1:12" ht="23.25" customHeight="1" x14ac:dyDescent="0.25">
      <c r="A7" s="216"/>
      <c r="B7" s="2504"/>
      <c r="C7" s="218"/>
      <c r="D7" s="181"/>
      <c r="E7" s="2507" t="s">
        <v>2275</v>
      </c>
      <c r="F7" s="2508"/>
      <c r="G7" s="2501"/>
      <c r="H7" s="96">
        <f>'EP-2 Innovative Solutions'!G12</f>
        <v>0</v>
      </c>
      <c r="I7" s="182"/>
      <c r="J7" s="182"/>
      <c r="K7" s="182"/>
      <c r="L7" s="183"/>
    </row>
    <row r="8" spans="1:12" ht="24" customHeight="1" x14ac:dyDescent="0.25">
      <c r="A8" s="219"/>
      <c r="B8" s="2504"/>
      <c r="C8" s="218"/>
      <c r="D8" s="181"/>
      <c r="E8" s="91" t="s">
        <v>25</v>
      </c>
      <c r="F8" s="92"/>
      <c r="G8" s="93">
        <f>SUM(G6:G7)</f>
        <v>4</v>
      </c>
      <c r="H8" s="93">
        <f>MIN(4,SUM(H6:H7))</f>
        <v>0</v>
      </c>
      <c r="I8" s="182"/>
      <c r="J8" s="182"/>
      <c r="K8" s="182"/>
      <c r="L8" s="183"/>
    </row>
    <row r="9" spans="1:12" ht="15" customHeight="1" x14ac:dyDescent="0.25">
      <c r="A9" s="219"/>
      <c r="B9" s="2504"/>
      <c r="C9" s="218"/>
      <c r="D9" s="181"/>
      <c r="E9" s="182"/>
      <c r="F9" s="182"/>
      <c r="G9" s="182"/>
      <c r="H9" s="182"/>
      <c r="I9" s="182"/>
      <c r="J9" s="182"/>
      <c r="K9" s="182"/>
      <c r="L9" s="183"/>
    </row>
    <row r="10" spans="1:12" ht="15" customHeight="1" x14ac:dyDescent="0.25">
      <c r="A10" s="219"/>
      <c r="B10" s="220"/>
      <c r="C10" s="221"/>
      <c r="D10" s="181"/>
      <c r="E10" s="182"/>
      <c r="F10" s="182"/>
      <c r="G10" s="182"/>
      <c r="H10" s="182"/>
      <c r="I10" s="182"/>
      <c r="J10" s="182"/>
      <c r="K10" s="182"/>
      <c r="L10" s="183"/>
    </row>
    <row r="11" spans="1:12" ht="15" customHeight="1" x14ac:dyDescent="0.25">
      <c r="A11" s="219"/>
      <c r="B11" s="220"/>
      <c r="C11" s="221"/>
      <c r="D11" s="181"/>
      <c r="E11" s="182"/>
      <c r="F11" s="182"/>
      <c r="G11" s="182"/>
      <c r="H11" s="182"/>
      <c r="I11" s="182"/>
      <c r="J11" s="182"/>
      <c r="K11" s="182"/>
      <c r="L11" s="183"/>
    </row>
    <row r="12" spans="1:12" ht="15" customHeight="1" x14ac:dyDescent="0.25">
      <c r="A12" s="219"/>
      <c r="B12" s="220"/>
      <c r="C12" s="221"/>
      <c r="D12" s="181"/>
      <c r="E12" s="182"/>
      <c r="F12" s="182"/>
      <c r="G12" s="182"/>
      <c r="H12" s="182"/>
      <c r="I12" s="182"/>
      <c r="J12" s="182"/>
      <c r="K12" s="182"/>
      <c r="L12" s="183"/>
    </row>
    <row r="13" spans="1:12" ht="15" customHeight="1" x14ac:dyDescent="0.25">
      <c r="A13" s="2498"/>
      <c r="B13" s="2499"/>
      <c r="C13" s="222"/>
      <c r="D13" s="184"/>
      <c r="E13" s="185"/>
      <c r="F13" s="185"/>
      <c r="G13" s="185"/>
      <c r="H13" s="185"/>
      <c r="I13" s="185"/>
      <c r="J13" s="185"/>
      <c r="K13" s="185"/>
      <c r="L13" s="186"/>
    </row>
    <row r="14" spans="1:12" ht="15" hidden="1" customHeight="1" x14ac:dyDescent="0.25">
      <c r="A14" s="69"/>
      <c r="B14" s="78"/>
      <c r="C14" s="78"/>
      <c r="D14" s="1"/>
      <c r="E14" s="1"/>
      <c r="F14" s="1"/>
      <c r="G14" s="1"/>
      <c r="H14" s="1"/>
      <c r="I14" s="1"/>
      <c r="J14" s="1"/>
      <c r="K14" s="1"/>
      <c r="L14" s="1"/>
    </row>
    <row r="15" spans="1:12" ht="15" hidden="1" customHeight="1" x14ac:dyDescent="0.25">
      <c r="A15" s="69"/>
      <c r="B15" s="78"/>
      <c r="C15" s="78"/>
      <c r="D15" s="1"/>
      <c r="E15" s="1"/>
      <c r="F15" s="1"/>
      <c r="G15" s="1"/>
      <c r="H15" s="1"/>
      <c r="I15" s="1"/>
      <c r="J15" s="1"/>
      <c r="K15" s="1"/>
      <c r="L15" s="1"/>
    </row>
    <row r="16" spans="1:12" ht="15" hidden="1" customHeight="1" x14ac:dyDescent="0.25">
      <c r="A16" s="69"/>
      <c r="B16" s="78"/>
      <c r="C16" s="78"/>
      <c r="D16" s="1"/>
      <c r="E16" s="1"/>
      <c r="F16" s="1"/>
      <c r="G16" s="1"/>
      <c r="H16" s="1"/>
      <c r="I16" s="1"/>
      <c r="J16" s="1"/>
      <c r="K16" s="1"/>
      <c r="L16" s="1"/>
    </row>
    <row r="17" spans="1:12" ht="15" hidden="1" customHeight="1" x14ac:dyDescent="0.25">
      <c r="A17" s="69"/>
      <c r="B17" s="78"/>
      <c r="C17" s="78"/>
      <c r="D17" s="1"/>
      <c r="E17" s="1"/>
      <c r="F17" s="1"/>
      <c r="G17" s="1"/>
      <c r="H17" s="1"/>
      <c r="I17" s="1"/>
      <c r="J17" s="1"/>
      <c r="K17" s="1"/>
      <c r="L17" s="1"/>
    </row>
    <row r="18" spans="1:12" ht="15" hidden="1" customHeight="1" x14ac:dyDescent="0.25">
      <c r="A18" s="1"/>
      <c r="B18" s="2"/>
      <c r="C18" s="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GrZkBHUdcXdToWhZ8WWrqZ3TAETbl/UCoIjmzB+6eRn5xpXJAmvKA9qmOsVIqSOenUOaaXnOYuf+fJsgvg7+nQ==" saltValue="BnCDmpi12OlSUuGlMYRj3A==" spinCount="100000" sheet="1" objects="1" scenarios="1" formatRows="0"/>
  <mergeCells count="9">
    <mergeCell ref="H4:H5"/>
    <mergeCell ref="E6:F6"/>
    <mergeCell ref="E7:F7"/>
    <mergeCell ref="A13:B13"/>
    <mergeCell ref="G6:G7"/>
    <mergeCell ref="B1:B3"/>
    <mergeCell ref="B4:B9"/>
    <mergeCell ref="E4:F5"/>
    <mergeCell ref="G4:G5"/>
  </mergeCells>
  <hyperlinks>
    <hyperlink ref="E6:F6" location="'EP-1 Enhanced Performance '!C3" tooltip="EP-1 Enhanced Performance " display="EP-1 Enhanced Performance " xr:uid="{00000000-0004-0000-3300-000000000000}"/>
    <hyperlink ref="E7:F7" location="'EP-2 Innovative Solutions'!C3" tooltip="EP-2 Innovative Solutions" display="EP-2 Innovative Solutions" xr:uid="{00000000-0004-0000-3300-000001000000}"/>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tabColor rgb="FFFFC000"/>
  </sheetPr>
  <dimension ref="A1:L82"/>
  <sheetViews>
    <sheetView showRowColHeaders="0" workbookViewId="0">
      <pane ySplit="8" topLeftCell="A9" activePane="bottomLeft" state="frozen"/>
      <selection activeCell="E21" sqref="E21"/>
      <selection pane="bottomLeft" activeCell="A5" sqref="A5:K7"/>
    </sheetView>
  </sheetViews>
  <sheetFormatPr defaultColWidth="0" defaultRowHeight="15" customHeight="1" zeroHeight="1" x14ac:dyDescent="0.25"/>
  <cols>
    <col min="1" max="1" width="4.7109375" style="35" customWidth="1"/>
    <col min="2" max="2" width="18.42578125" style="35" customWidth="1"/>
    <col min="3" max="3" width="17" style="35" customWidth="1"/>
    <col min="4" max="5" width="20.7109375" style="35" customWidth="1"/>
    <col min="6" max="8" width="18.7109375" style="35" customWidth="1"/>
    <col min="9" max="9" width="16.7109375" style="35" customWidth="1"/>
    <col min="10" max="10" width="15.140625" style="35" customWidth="1"/>
    <col min="11" max="11" width="9.140625" style="35" customWidth="1"/>
    <col min="12" max="16384" width="9.140625" style="35" hidden="1"/>
  </cols>
  <sheetData>
    <row r="1" spans="1:11" ht="25.5" customHeight="1" x14ac:dyDescent="0.25">
      <c r="A1" s="2513" t="s">
        <v>2274</v>
      </c>
      <c r="B1" s="2513"/>
      <c r="C1" s="2513"/>
      <c r="D1" s="2513"/>
      <c r="E1" s="2513"/>
      <c r="F1" s="2513"/>
      <c r="G1" s="2513"/>
      <c r="H1" s="2513"/>
      <c r="I1" s="2513"/>
      <c r="J1" s="2513"/>
      <c r="K1" s="2513"/>
    </row>
    <row r="2" spans="1:11" ht="15" customHeight="1" x14ac:dyDescent="0.25">
      <c r="A2" s="45"/>
      <c r="B2" s="46"/>
      <c r="C2" s="46"/>
      <c r="D2" s="46"/>
      <c r="E2" s="46"/>
      <c r="F2" s="45"/>
      <c r="G2" s="45"/>
      <c r="H2" s="45"/>
      <c r="I2" s="1753" t="s">
        <v>2618</v>
      </c>
      <c r="J2" s="1753"/>
      <c r="K2" s="2518" t="s">
        <v>2276</v>
      </c>
    </row>
    <row r="3" spans="1:11" ht="15" customHeight="1" x14ac:dyDescent="0.25">
      <c r="A3" s="45"/>
      <c r="B3" s="46"/>
      <c r="C3" s="46"/>
      <c r="D3" s="46"/>
      <c r="E3" s="46"/>
      <c r="F3" s="45"/>
      <c r="G3" s="45"/>
      <c r="H3" s="45"/>
      <c r="I3" s="1753"/>
      <c r="J3" s="1753"/>
      <c r="K3" s="2518"/>
    </row>
    <row r="4" spans="1:11" ht="15" customHeight="1" x14ac:dyDescent="0.25">
      <c r="A4" s="45"/>
      <c r="B4" s="46"/>
      <c r="C4" s="46"/>
      <c r="D4" s="46"/>
      <c r="E4" s="46"/>
      <c r="F4" s="45"/>
      <c r="G4" s="45"/>
      <c r="H4" s="45"/>
      <c r="I4" s="1835"/>
      <c r="J4" s="1835"/>
      <c r="K4" s="2519"/>
    </row>
    <row r="5" spans="1:11" ht="18" customHeight="1" x14ac:dyDescent="0.25">
      <c r="A5" s="1656" t="s">
        <v>2651</v>
      </c>
      <c r="B5" s="1657"/>
      <c r="C5" s="1657"/>
      <c r="D5" s="1657"/>
      <c r="E5" s="1657"/>
      <c r="F5" s="1657"/>
      <c r="G5" s="1657"/>
      <c r="H5" s="1657"/>
      <c r="I5" s="1657"/>
      <c r="J5" s="1657"/>
      <c r="K5" s="1658"/>
    </row>
    <row r="6" spans="1:11" ht="18" customHeight="1" x14ac:dyDescent="0.25">
      <c r="A6" s="1659"/>
      <c r="B6" s="1660"/>
      <c r="C6" s="1660"/>
      <c r="D6" s="1660"/>
      <c r="E6" s="1660"/>
      <c r="F6" s="1660"/>
      <c r="G6" s="1660"/>
      <c r="H6" s="1660"/>
      <c r="I6" s="1660"/>
      <c r="J6" s="1660"/>
      <c r="K6" s="1661"/>
    </row>
    <row r="7" spans="1:11" ht="17.25" customHeight="1" x14ac:dyDescent="0.25">
      <c r="A7" s="1662"/>
      <c r="B7" s="1663"/>
      <c r="C7" s="1663"/>
      <c r="D7" s="1663"/>
      <c r="E7" s="1663"/>
      <c r="F7" s="1663"/>
      <c r="G7" s="1663"/>
      <c r="H7" s="1663"/>
      <c r="I7" s="1663"/>
      <c r="J7" s="1663"/>
      <c r="K7" s="1664"/>
    </row>
    <row r="8" spans="1:11" ht="12" customHeight="1" x14ac:dyDescent="0.25">
      <c r="A8" s="45"/>
      <c r="B8" s="46"/>
      <c r="C8" s="46"/>
      <c r="D8" s="46"/>
      <c r="E8" s="46"/>
      <c r="F8" s="45"/>
      <c r="G8" s="45"/>
      <c r="H8" s="45"/>
      <c r="I8" s="45"/>
      <c r="J8" s="45"/>
      <c r="K8" s="45"/>
    </row>
    <row r="9" spans="1:11" ht="18" customHeight="1" x14ac:dyDescent="0.25">
      <c r="A9" s="2514" t="s">
        <v>82</v>
      </c>
      <c r="B9" s="2514"/>
      <c r="C9" s="2514"/>
      <c r="D9" s="2514"/>
      <c r="E9" s="2514"/>
      <c r="F9" s="2514"/>
      <c r="G9" s="2514"/>
      <c r="H9" s="2514"/>
      <c r="I9" s="2514"/>
      <c r="J9" s="2514"/>
      <c r="K9" s="2514"/>
    </row>
    <row r="10" spans="1:11" x14ac:dyDescent="0.25">
      <c r="A10" s="45"/>
      <c r="B10" s="46"/>
      <c r="C10" s="46"/>
      <c r="D10" s="46"/>
      <c r="E10" s="46"/>
      <c r="F10" s="45"/>
      <c r="G10" s="45"/>
      <c r="H10" s="45"/>
      <c r="I10" s="45"/>
      <c r="J10" s="45"/>
      <c r="K10" s="45"/>
    </row>
    <row r="11" spans="1:11" ht="21" customHeight="1" x14ac:dyDescent="0.25">
      <c r="A11" s="45"/>
      <c r="B11" s="2516" t="s">
        <v>83</v>
      </c>
      <c r="C11" s="2517"/>
      <c r="D11" s="2517"/>
      <c r="E11" s="2517"/>
      <c r="F11" s="525" t="s">
        <v>64</v>
      </c>
      <c r="G11" s="525" t="s">
        <v>16</v>
      </c>
      <c r="H11" s="232" t="s">
        <v>133</v>
      </c>
      <c r="I11" s="45"/>
      <c r="J11" s="45"/>
      <c r="K11" s="45"/>
    </row>
    <row r="12" spans="1:11" ht="19.5" customHeight="1" x14ac:dyDescent="0.25">
      <c r="A12" s="45"/>
      <c r="B12" s="2113" t="s">
        <v>37</v>
      </c>
      <c r="C12" s="2114"/>
      <c r="D12" s="2114"/>
      <c r="E12" s="2115"/>
      <c r="F12" s="167">
        <v>4</v>
      </c>
      <c r="G12" s="167">
        <f>MIN(C34,6)</f>
        <v>0</v>
      </c>
      <c r="H12" s="167" t="str">
        <f>C35</f>
        <v>No</v>
      </c>
      <c r="I12" s="45"/>
      <c r="J12" s="45"/>
      <c r="K12" s="45"/>
    </row>
    <row r="13" spans="1:11" x14ac:dyDescent="0.25">
      <c r="A13" s="45"/>
      <c r="B13" s="46"/>
      <c r="C13" s="46"/>
      <c r="D13" s="46"/>
      <c r="E13" s="46"/>
      <c r="F13" s="45"/>
      <c r="G13" s="45"/>
      <c r="H13" s="45"/>
      <c r="I13" s="45"/>
      <c r="J13" s="45"/>
      <c r="K13" s="45"/>
    </row>
    <row r="14" spans="1:11" ht="18" customHeight="1" x14ac:dyDescent="0.25">
      <c r="A14" s="2514" t="s">
        <v>102</v>
      </c>
      <c r="B14" s="2514"/>
      <c r="C14" s="2514"/>
      <c r="D14" s="2514"/>
      <c r="E14" s="2514"/>
      <c r="F14" s="2514"/>
      <c r="G14" s="2514"/>
      <c r="H14" s="2514"/>
      <c r="I14" s="2514"/>
      <c r="J14" s="2514"/>
      <c r="K14" s="2514"/>
    </row>
    <row r="15" spans="1:11" ht="12" customHeight="1" x14ac:dyDescent="0.25">
      <c r="A15" s="45"/>
      <c r="B15" s="46"/>
      <c r="C15" s="46"/>
      <c r="D15" s="46"/>
      <c r="E15" s="46"/>
      <c r="F15" s="45"/>
      <c r="G15" s="45"/>
      <c r="H15" s="45"/>
      <c r="I15" s="45"/>
      <c r="J15" s="45"/>
      <c r="K15" s="45"/>
    </row>
    <row r="16" spans="1:11" ht="14.25" customHeight="1" x14ac:dyDescent="0.25">
      <c r="A16" s="45"/>
      <c r="B16" s="764" t="s">
        <v>37</v>
      </c>
      <c r="C16" s="112"/>
      <c r="D16" s="112"/>
      <c r="E16" s="112"/>
      <c r="F16" s="112"/>
      <c r="G16" s="112"/>
      <c r="H16" s="112"/>
      <c r="I16" s="112"/>
      <c r="J16" s="112"/>
      <c r="K16" s="45"/>
    </row>
    <row r="17" spans="1:12" ht="14.25" customHeight="1" x14ac:dyDescent="0.25">
      <c r="A17" s="45"/>
      <c r="B17" s="764"/>
      <c r="C17" s="112"/>
      <c r="D17" s="112"/>
      <c r="E17" s="112"/>
      <c r="F17" s="112"/>
      <c r="G17" s="112"/>
      <c r="H17" s="112"/>
      <c r="I17" s="112"/>
      <c r="J17" s="112"/>
      <c r="K17" s="45"/>
    </row>
    <row r="18" spans="1:12" ht="14.25" customHeight="1" x14ac:dyDescent="0.25">
      <c r="A18" s="45"/>
      <c r="B18" s="234" t="s">
        <v>2280</v>
      </c>
      <c r="C18" s="112"/>
      <c r="D18" s="112"/>
      <c r="E18" s="112"/>
      <c r="F18" s="112"/>
      <c r="G18" s="112"/>
      <c r="H18" s="112"/>
      <c r="I18" s="112"/>
      <c r="J18" s="112"/>
      <c r="K18" s="45"/>
    </row>
    <row r="19" spans="1:12" ht="14.25" customHeight="1" x14ac:dyDescent="0.25">
      <c r="A19" s="45"/>
      <c r="B19" s="234" t="s">
        <v>2282</v>
      </c>
      <c r="C19" s="112"/>
      <c r="D19" s="112"/>
      <c r="E19" s="112"/>
      <c r="F19" s="112"/>
      <c r="G19" s="112"/>
      <c r="H19" s="112"/>
      <c r="I19" s="112"/>
      <c r="J19" s="112"/>
      <c r="K19" s="45"/>
    </row>
    <row r="20" spans="1:12" ht="14.25" customHeight="1" x14ac:dyDescent="0.25">
      <c r="A20" s="45"/>
      <c r="B20" s="234" t="s">
        <v>2281</v>
      </c>
      <c r="C20" s="112"/>
      <c r="D20" s="112"/>
      <c r="E20" s="112"/>
      <c r="F20" s="112"/>
      <c r="G20" s="112"/>
      <c r="H20" s="112"/>
      <c r="I20" s="112"/>
      <c r="J20" s="112"/>
      <c r="K20" s="45"/>
    </row>
    <row r="21" spans="1:12" ht="14.25" customHeight="1" x14ac:dyDescent="0.25">
      <c r="A21" s="45"/>
      <c r="B21" s="112"/>
      <c r="C21" s="112"/>
      <c r="D21" s="112"/>
      <c r="E21" s="112"/>
      <c r="F21" s="112"/>
      <c r="G21" s="112"/>
      <c r="H21" s="112"/>
      <c r="I21" s="112"/>
      <c r="J21" s="112"/>
      <c r="K21" s="45"/>
    </row>
    <row r="22" spans="1:12" ht="19.5" customHeight="1" x14ac:dyDescent="0.25">
      <c r="A22" s="45"/>
      <c r="B22" s="2511" t="s">
        <v>201</v>
      </c>
      <c r="C22" s="2511"/>
      <c r="D22" s="2511" t="s">
        <v>2279</v>
      </c>
      <c r="E22" s="2511"/>
      <c r="F22" s="2509" t="s">
        <v>1901</v>
      </c>
      <c r="G22" s="2509"/>
      <c r="H22" s="2509"/>
      <c r="I22" s="2509"/>
      <c r="J22" s="45"/>
      <c r="K22" s="45"/>
    </row>
    <row r="23" spans="1:12" ht="42" customHeight="1" x14ac:dyDescent="0.25">
      <c r="A23" s="45"/>
      <c r="B23" s="2512"/>
      <c r="C23" s="2512"/>
      <c r="D23" s="2512" t="s">
        <v>53</v>
      </c>
      <c r="E23" s="2512"/>
      <c r="F23" s="2510"/>
      <c r="G23" s="2510"/>
      <c r="H23" s="2510"/>
      <c r="I23" s="2510"/>
      <c r="J23" s="45"/>
      <c r="K23" s="45"/>
      <c r="L23" s="35">
        <f>IF(AND(B23&lt;&gt;"",D23&lt;&gt;"",D23&lt;&gt;"Select",F23&lt;&gt;""),1,0)</f>
        <v>0</v>
      </c>
    </row>
    <row r="24" spans="1:12" ht="42" customHeight="1" x14ac:dyDescent="0.25">
      <c r="A24" s="45"/>
      <c r="B24" s="2512"/>
      <c r="C24" s="2512"/>
      <c r="D24" s="2512" t="s">
        <v>53</v>
      </c>
      <c r="E24" s="2512"/>
      <c r="F24" s="2510"/>
      <c r="G24" s="2510"/>
      <c r="H24" s="2510"/>
      <c r="I24" s="2510"/>
      <c r="J24" s="45"/>
      <c r="K24" s="45"/>
      <c r="L24" s="35">
        <f t="shared" ref="L24:L26" si="0">IF(AND(B24&lt;&gt;"",D24&lt;&gt;"",D24&lt;&gt;"Select",F24&lt;&gt;""),1,0)</f>
        <v>0</v>
      </c>
    </row>
    <row r="25" spans="1:12" ht="42" customHeight="1" x14ac:dyDescent="0.25">
      <c r="A25" s="45"/>
      <c r="B25" s="2512"/>
      <c r="C25" s="2512"/>
      <c r="D25" s="2512" t="s">
        <v>53</v>
      </c>
      <c r="E25" s="2512"/>
      <c r="F25" s="2510"/>
      <c r="G25" s="2510"/>
      <c r="H25" s="2510"/>
      <c r="I25" s="2510"/>
      <c r="J25" s="45"/>
      <c r="K25" s="45"/>
      <c r="L25" s="35">
        <f t="shared" si="0"/>
        <v>0</v>
      </c>
    </row>
    <row r="26" spans="1:12" ht="42" customHeight="1" x14ac:dyDescent="0.25">
      <c r="A26" s="45"/>
      <c r="B26" s="2512"/>
      <c r="C26" s="2512"/>
      <c r="D26" s="2512" t="s">
        <v>53</v>
      </c>
      <c r="E26" s="2512"/>
      <c r="F26" s="2510"/>
      <c r="G26" s="2510"/>
      <c r="H26" s="2510"/>
      <c r="I26" s="2510"/>
      <c r="J26" s="45"/>
      <c r="K26" s="45"/>
      <c r="L26" s="35">
        <f t="shared" si="0"/>
        <v>0</v>
      </c>
    </row>
    <row r="27" spans="1:12" ht="21" customHeight="1" x14ac:dyDescent="0.25">
      <c r="A27" s="45"/>
      <c r="B27" s="46"/>
      <c r="C27" s="46"/>
      <c r="D27" s="46"/>
      <c r="E27" s="46"/>
      <c r="F27" s="45"/>
      <c r="G27" s="45"/>
      <c r="H27" s="45"/>
      <c r="I27" s="45"/>
      <c r="J27" s="45"/>
      <c r="K27" s="45"/>
    </row>
    <row r="28" spans="1:12" ht="18" customHeight="1" x14ac:dyDescent="0.25">
      <c r="A28" s="2514" t="s">
        <v>84</v>
      </c>
      <c r="B28" s="2514"/>
      <c r="C28" s="2514"/>
      <c r="D28" s="2514"/>
      <c r="E28" s="2514"/>
      <c r="F28" s="2514"/>
      <c r="G28" s="2514"/>
      <c r="H28" s="2514"/>
      <c r="I28" s="2514"/>
      <c r="J28" s="2514"/>
      <c r="K28" s="2514"/>
    </row>
    <row r="29" spans="1:12" ht="12.75" customHeight="1" x14ac:dyDescent="0.25">
      <c r="A29" s="45"/>
      <c r="B29" s="46"/>
      <c r="C29" s="46"/>
      <c r="D29" s="46"/>
      <c r="E29" s="45"/>
      <c r="F29" s="45"/>
      <c r="G29" s="45"/>
      <c r="H29" s="45"/>
      <c r="I29" s="45"/>
      <c r="J29" s="45"/>
      <c r="K29" s="45"/>
    </row>
    <row r="30" spans="1:12" ht="15" customHeight="1" x14ac:dyDescent="0.25">
      <c r="A30" s="45"/>
      <c r="B30" s="2515" t="s">
        <v>202</v>
      </c>
      <c r="C30" s="2515"/>
      <c r="D30" s="2515"/>
      <c r="E30" s="2515"/>
      <c r="F30" s="2515"/>
      <c r="G30" s="2515"/>
      <c r="H30" s="45"/>
      <c r="I30" s="45"/>
      <c r="J30" s="45"/>
      <c r="K30" s="45"/>
    </row>
    <row r="31" spans="1:12" x14ac:dyDescent="0.25">
      <c r="A31" s="45"/>
      <c r="B31" s="46"/>
      <c r="C31" s="46"/>
      <c r="D31" s="46"/>
      <c r="E31" s="45"/>
      <c r="F31" s="45"/>
      <c r="G31" s="45"/>
      <c r="H31" s="45"/>
      <c r="I31" s="45"/>
      <c r="J31" s="45"/>
      <c r="K31" s="45"/>
    </row>
    <row r="32" spans="1:12" ht="18" customHeight="1" x14ac:dyDescent="0.25">
      <c r="A32" s="2514" t="s">
        <v>5</v>
      </c>
      <c r="B32" s="2514"/>
      <c r="C32" s="2514"/>
      <c r="D32" s="2514"/>
      <c r="E32" s="2514"/>
      <c r="F32" s="2514"/>
      <c r="G32" s="2514"/>
      <c r="H32" s="2514"/>
      <c r="I32" s="2514"/>
      <c r="J32" s="2514"/>
      <c r="K32" s="2514"/>
    </row>
    <row r="33" spans="1:11" x14ac:dyDescent="0.25">
      <c r="A33" s="45"/>
      <c r="B33" s="46"/>
      <c r="C33" s="46"/>
      <c r="D33" s="46"/>
      <c r="E33" s="46"/>
      <c r="F33" s="45"/>
      <c r="G33" s="45"/>
      <c r="H33" s="45"/>
      <c r="I33" s="45"/>
      <c r="J33" s="45"/>
      <c r="K33" s="45"/>
    </row>
    <row r="34" spans="1:11" ht="18" customHeight="1" x14ac:dyDescent="0.25">
      <c r="A34" s="45"/>
      <c r="B34" s="233" t="s">
        <v>16</v>
      </c>
      <c r="C34" s="8">
        <f>SUM(L23:L26)</f>
        <v>0</v>
      </c>
      <c r="D34" s="46"/>
      <c r="E34" s="45"/>
      <c r="F34" s="45"/>
      <c r="G34" s="45"/>
      <c r="H34" s="45"/>
      <c r="I34" s="45"/>
      <c r="J34" s="45"/>
      <c r="K34" s="45"/>
    </row>
    <row r="35" spans="1:11" ht="18" customHeight="1" x14ac:dyDescent="0.25">
      <c r="A35" s="45"/>
      <c r="B35" s="233" t="s">
        <v>133</v>
      </c>
      <c r="C35" s="108" t="str">
        <f>IF(C34&gt;0,"Yes","No")</f>
        <v>No</v>
      </c>
      <c r="D35" s="46"/>
      <c r="E35" s="46"/>
      <c r="F35" s="45"/>
      <c r="G35" s="45"/>
      <c r="H35" s="45"/>
      <c r="I35" s="45"/>
      <c r="J35" s="45"/>
      <c r="K35" s="45"/>
    </row>
    <row r="36" spans="1:11" x14ac:dyDescent="0.25">
      <c r="A36" s="45"/>
      <c r="B36" s="46"/>
      <c r="C36" s="46"/>
      <c r="D36" s="46"/>
      <c r="E36" s="46"/>
      <c r="F36" s="45"/>
      <c r="G36" s="45"/>
      <c r="H36" s="45"/>
      <c r="I36" s="45"/>
      <c r="J36" s="45"/>
      <c r="K36" s="45"/>
    </row>
    <row r="37" spans="1:11" hidden="1" x14ac:dyDescent="0.25">
      <c r="J37" s="45"/>
      <c r="K37" s="45"/>
    </row>
    <row r="38" spans="1:11" hidden="1" x14ac:dyDescent="0.25">
      <c r="J38" s="45"/>
      <c r="K38" s="45"/>
    </row>
    <row r="39" spans="1:11" hidden="1" x14ac:dyDescent="0.25">
      <c r="J39" s="45"/>
      <c r="K39" s="45"/>
    </row>
    <row r="40" spans="1:11" ht="15" hidden="1" customHeight="1" x14ac:dyDescent="0.25"/>
    <row r="41" spans="1:11" ht="15" hidden="1" customHeight="1" x14ac:dyDescent="0.25"/>
    <row r="42" spans="1:11" ht="15" hidden="1" customHeight="1" x14ac:dyDescent="0.25"/>
    <row r="43" spans="1:11" ht="15" hidden="1" customHeight="1" x14ac:dyDescent="0.25"/>
    <row r="44" spans="1:11" ht="15" hidden="1" customHeight="1" x14ac:dyDescent="0.25"/>
    <row r="45" spans="1:11" ht="15" hidden="1" customHeight="1" x14ac:dyDescent="0.25"/>
    <row r="46" spans="1:11" ht="15" hidden="1" customHeight="1" x14ac:dyDescent="0.25"/>
    <row r="47" spans="1:11" ht="15" hidden="1" customHeight="1" x14ac:dyDescent="0.25"/>
    <row r="48" spans="1:1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sheetData>
  <sheetProtection algorithmName="SHA-512" hashValue="38dFhroxN/3DNZErI7FpSwo93kqxEcdwLRZLn3Ki+InDF/i8CMMHJYV6c8hoZTw2dJv6YLgvRJFwA77dk+Txhg==" saltValue="UJ6bqZ6TC5iBdivqoUw/HQ==" spinCount="100000" sheet="1" objects="1" scenarios="1" formatRows="0"/>
  <mergeCells count="26">
    <mergeCell ref="A1:K1"/>
    <mergeCell ref="A9:K9"/>
    <mergeCell ref="A14:K14"/>
    <mergeCell ref="A28:K28"/>
    <mergeCell ref="A32:K32"/>
    <mergeCell ref="B30:G30"/>
    <mergeCell ref="B26:C26"/>
    <mergeCell ref="D26:E26"/>
    <mergeCell ref="B22:C22"/>
    <mergeCell ref="B25:C25"/>
    <mergeCell ref="D25:E25"/>
    <mergeCell ref="I2:J4"/>
    <mergeCell ref="A5:K7"/>
    <mergeCell ref="B11:E11"/>
    <mergeCell ref="B12:E12"/>
    <mergeCell ref="K2:K4"/>
    <mergeCell ref="D22:E22"/>
    <mergeCell ref="B23:C23"/>
    <mergeCell ref="D23:E23"/>
    <mergeCell ref="B24:C24"/>
    <mergeCell ref="D24:E24"/>
    <mergeCell ref="F22:I22"/>
    <mergeCell ref="F23:I23"/>
    <mergeCell ref="F24:I24"/>
    <mergeCell ref="F25:I25"/>
    <mergeCell ref="F26:I26"/>
  </mergeCells>
  <dataValidations count="1">
    <dataValidation type="list" allowBlank="1" showInputMessage="1" showErrorMessage="1" sqref="D23:E26" xr:uid="{00000000-0002-0000-3400-000000000000}">
      <formula1>"Select,Case 1: Exceeds requirements by an additional increment,Case 2: Reaches a higher number of points than what is available in the credit"</formula1>
    </dataValidation>
  </dataValidations>
  <hyperlinks>
    <hyperlink ref="K2" location="'Inn-2 Innovative Techniques'!A1" tooltip="Inn-2" display="Inn-2" xr:uid="{00000000-0004-0000-3400-000000000000}"/>
    <hyperlink ref="K2:K4" location="'EP-2 Innovative Solutions'!C3" tooltip="EP-2" display="EP-2" xr:uid="{00000000-0004-0000-3400-000001000000}"/>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FFC000"/>
  </sheetPr>
  <dimension ref="A1:N113"/>
  <sheetViews>
    <sheetView showRowColHeaders="0" workbookViewId="0">
      <pane ySplit="8" topLeftCell="A9" activePane="bottomLeft" state="frozen"/>
      <selection activeCell="E21" sqref="E21"/>
      <selection pane="bottomLeft" activeCell="B12" sqref="B12:E12"/>
    </sheetView>
  </sheetViews>
  <sheetFormatPr defaultColWidth="0" defaultRowHeight="15" customHeight="1" zeroHeight="1" x14ac:dyDescent="0.25"/>
  <cols>
    <col min="1" max="1" width="4.7109375" style="35" customWidth="1"/>
    <col min="2" max="2" width="18.42578125" style="35" customWidth="1"/>
    <col min="3" max="3" width="17" style="35" customWidth="1"/>
    <col min="4" max="5" width="18.42578125" style="35" customWidth="1"/>
    <col min="6" max="8" width="17.85546875" style="35" customWidth="1"/>
    <col min="9" max="9" width="16.7109375" style="35" customWidth="1"/>
    <col min="10" max="10" width="15.140625" style="35" customWidth="1"/>
    <col min="11" max="11" width="9.140625" style="35" customWidth="1"/>
    <col min="12" max="16384" width="9.140625" style="35" hidden="1"/>
  </cols>
  <sheetData>
    <row r="1" spans="1:14" ht="25.5" customHeight="1" x14ac:dyDescent="0.25">
      <c r="A1" s="224" t="s">
        <v>2275</v>
      </c>
      <c r="B1" s="225"/>
      <c r="C1" s="225"/>
      <c r="D1" s="225"/>
      <c r="E1" s="225"/>
      <c r="F1" s="225"/>
      <c r="G1" s="231"/>
      <c r="H1" s="231"/>
      <c r="I1" s="231"/>
      <c r="J1" s="231"/>
      <c r="K1" s="231"/>
    </row>
    <row r="2" spans="1:14" ht="15" customHeight="1" x14ac:dyDescent="0.25">
      <c r="A2" s="45"/>
      <c r="B2" s="46"/>
      <c r="C2" s="46"/>
      <c r="D2" s="46"/>
      <c r="E2" s="46"/>
      <c r="F2" s="45"/>
      <c r="G2" s="45"/>
      <c r="H2" s="45"/>
      <c r="I2" s="1753" t="s">
        <v>2618</v>
      </c>
      <c r="J2" s="1753"/>
      <c r="K2" s="2518" t="s">
        <v>2277</v>
      </c>
    </row>
    <row r="3" spans="1:14" ht="15" customHeight="1" x14ac:dyDescent="0.25">
      <c r="A3" s="45"/>
      <c r="B3" s="46"/>
      <c r="C3" s="46"/>
      <c r="D3" s="46"/>
      <c r="E3" s="46"/>
      <c r="F3" s="45"/>
      <c r="G3" s="45"/>
      <c r="H3" s="45"/>
      <c r="I3" s="1753"/>
      <c r="J3" s="1753"/>
      <c r="K3" s="2518"/>
    </row>
    <row r="4" spans="1:14" ht="15" customHeight="1" x14ac:dyDescent="0.25">
      <c r="A4" s="45"/>
      <c r="B4" s="46"/>
      <c r="C4" s="46"/>
      <c r="D4" s="46"/>
      <c r="E4" s="46"/>
      <c r="F4" s="45"/>
      <c r="G4" s="45"/>
      <c r="H4" s="45"/>
      <c r="I4" s="1835"/>
      <c r="J4" s="1835"/>
      <c r="K4" s="2522"/>
    </row>
    <row r="5" spans="1:14" ht="18" customHeight="1" x14ac:dyDescent="0.25">
      <c r="A5" s="1656" t="s">
        <v>2652</v>
      </c>
      <c r="B5" s="1657"/>
      <c r="C5" s="1657"/>
      <c r="D5" s="1657"/>
      <c r="E5" s="1657"/>
      <c r="F5" s="1657"/>
      <c r="G5" s="1657"/>
      <c r="H5" s="1657"/>
      <c r="I5" s="1657"/>
      <c r="J5" s="1657"/>
      <c r="K5" s="1658"/>
    </row>
    <row r="6" spans="1:14" ht="18" customHeight="1" x14ac:dyDescent="0.25">
      <c r="A6" s="1659"/>
      <c r="B6" s="1660"/>
      <c r="C6" s="1660"/>
      <c r="D6" s="1660"/>
      <c r="E6" s="1660"/>
      <c r="F6" s="1660"/>
      <c r="G6" s="1660"/>
      <c r="H6" s="1660"/>
      <c r="I6" s="1660"/>
      <c r="J6" s="1660"/>
      <c r="K6" s="1661"/>
    </row>
    <row r="7" spans="1:14" ht="17.25" customHeight="1" x14ac:dyDescent="0.25">
      <c r="A7" s="1662"/>
      <c r="B7" s="1663"/>
      <c r="C7" s="1663"/>
      <c r="D7" s="1663"/>
      <c r="E7" s="1663"/>
      <c r="F7" s="1663"/>
      <c r="G7" s="1663"/>
      <c r="H7" s="1663"/>
      <c r="I7" s="1663"/>
      <c r="J7" s="1663"/>
      <c r="K7" s="1664"/>
    </row>
    <row r="8" spans="1:14" ht="12" customHeight="1" x14ac:dyDescent="0.25">
      <c r="A8" s="45"/>
      <c r="B8" s="46"/>
      <c r="C8" s="46"/>
      <c r="D8" s="46"/>
      <c r="E8" s="46"/>
      <c r="F8" s="45"/>
      <c r="G8" s="45"/>
      <c r="H8" s="45"/>
      <c r="I8" s="45"/>
      <c r="J8" s="45"/>
      <c r="K8" s="45"/>
      <c r="L8" s="45"/>
      <c r="M8" s="45"/>
      <c r="N8" s="45"/>
    </row>
    <row r="9" spans="1:14" ht="18" customHeight="1" x14ac:dyDescent="0.25">
      <c r="A9" s="2514" t="s">
        <v>82</v>
      </c>
      <c r="B9" s="2514"/>
      <c r="C9" s="2514"/>
      <c r="D9" s="2514"/>
      <c r="E9" s="2514"/>
      <c r="F9" s="2514"/>
      <c r="G9" s="2514"/>
      <c r="H9" s="2514"/>
      <c r="I9" s="2514"/>
      <c r="J9" s="2514"/>
      <c r="K9" s="2514"/>
    </row>
    <row r="10" spans="1:14" x14ac:dyDescent="0.25">
      <c r="A10" s="45"/>
      <c r="B10" s="46"/>
      <c r="C10" s="46"/>
      <c r="D10" s="46"/>
      <c r="E10" s="46"/>
      <c r="F10" s="45"/>
      <c r="G10" s="45"/>
      <c r="H10" s="45"/>
      <c r="I10" s="45"/>
      <c r="J10" s="45"/>
      <c r="K10" s="45"/>
    </row>
    <row r="11" spans="1:14" ht="21" customHeight="1" x14ac:dyDescent="0.25">
      <c r="A11" s="45"/>
      <c r="B11" s="2520" t="s">
        <v>83</v>
      </c>
      <c r="C11" s="2521"/>
      <c r="D11" s="2521"/>
      <c r="E11" s="2521"/>
      <c r="F11" s="525" t="s">
        <v>64</v>
      </c>
      <c r="G11" s="525" t="s">
        <v>16</v>
      </c>
      <c r="H11" s="232" t="s">
        <v>133</v>
      </c>
      <c r="I11" s="45"/>
      <c r="J11" s="45"/>
      <c r="K11" s="45"/>
    </row>
    <row r="12" spans="1:14" ht="27" customHeight="1" x14ac:dyDescent="0.25">
      <c r="A12" s="45"/>
      <c r="B12" s="2166" t="s">
        <v>2278</v>
      </c>
      <c r="C12" s="2166"/>
      <c r="D12" s="2166"/>
      <c r="E12" s="2166"/>
      <c r="F12" s="319">
        <v>4</v>
      </c>
      <c r="G12" s="167">
        <f>C60</f>
        <v>0</v>
      </c>
      <c r="H12" s="167" t="str">
        <f>C61</f>
        <v>No</v>
      </c>
      <c r="I12" s="45"/>
      <c r="J12" s="45"/>
      <c r="K12" s="45"/>
    </row>
    <row r="13" spans="1:14" x14ac:dyDescent="0.25">
      <c r="A13" s="45"/>
      <c r="B13" s="46"/>
      <c r="C13" s="46"/>
      <c r="D13" s="46"/>
      <c r="E13" s="46"/>
      <c r="F13" s="45"/>
      <c r="G13" s="45"/>
      <c r="H13" s="45"/>
      <c r="I13" s="45"/>
      <c r="J13" s="45"/>
      <c r="K13" s="45"/>
    </row>
    <row r="14" spans="1:14" ht="18" customHeight="1" x14ac:dyDescent="0.25">
      <c r="A14" s="2514" t="s">
        <v>102</v>
      </c>
      <c r="B14" s="2514"/>
      <c r="C14" s="2514"/>
      <c r="D14" s="2514"/>
      <c r="E14" s="2514"/>
      <c r="F14" s="2514"/>
      <c r="G14" s="2514"/>
      <c r="H14" s="2514"/>
      <c r="I14" s="2514"/>
      <c r="J14" s="2514"/>
      <c r="K14" s="2514"/>
    </row>
    <row r="15" spans="1:14" ht="12" customHeight="1" x14ac:dyDescent="0.25">
      <c r="A15" s="45"/>
      <c r="B15" s="46"/>
      <c r="C15" s="46"/>
      <c r="D15" s="46"/>
      <c r="E15" s="46"/>
      <c r="F15" s="45"/>
      <c r="G15" s="45"/>
      <c r="H15" s="45"/>
      <c r="I15" s="45"/>
      <c r="J15" s="45"/>
      <c r="K15" s="45"/>
    </row>
    <row r="16" spans="1:14" x14ac:dyDescent="0.25">
      <c r="A16" s="45"/>
      <c r="B16" s="764" t="s">
        <v>200</v>
      </c>
      <c r="C16" s="46"/>
      <c r="D16" s="46"/>
      <c r="E16" s="46"/>
      <c r="F16" s="45"/>
      <c r="G16" s="45"/>
      <c r="H16" s="45"/>
      <c r="I16" s="45"/>
      <c r="J16" s="45"/>
      <c r="K16" s="45"/>
    </row>
    <row r="17" spans="1:12" x14ac:dyDescent="0.25">
      <c r="A17" s="45"/>
      <c r="B17" s="544" t="s">
        <v>203</v>
      </c>
      <c r="C17" s="46"/>
      <c r="D17" s="46"/>
      <c r="E17" s="46"/>
      <c r="F17" s="45"/>
      <c r="G17" s="45"/>
      <c r="H17" s="45"/>
      <c r="I17" s="45"/>
      <c r="J17" s="45"/>
      <c r="K17" s="45"/>
    </row>
    <row r="18" spans="1:12" x14ac:dyDescent="0.25">
      <c r="A18" s="45"/>
      <c r="B18" s="609" t="s">
        <v>204</v>
      </c>
      <c r="C18" s="45"/>
      <c r="D18" s="45"/>
      <c r="E18" s="45"/>
      <c r="F18" s="45"/>
      <c r="G18" s="45"/>
      <c r="H18" s="45"/>
      <c r="I18" s="45"/>
      <c r="J18" s="45"/>
      <c r="K18" s="45"/>
    </row>
    <row r="19" spans="1:12" ht="14.25" customHeight="1" x14ac:dyDescent="0.25">
      <c r="A19" s="45"/>
      <c r="B19" s="112"/>
      <c r="C19" s="112"/>
      <c r="D19" s="112"/>
      <c r="E19" s="112"/>
      <c r="F19" s="112"/>
      <c r="G19" s="112"/>
      <c r="H19" s="112"/>
      <c r="I19" s="112"/>
      <c r="J19" s="112"/>
      <c r="K19" s="45"/>
    </row>
    <row r="20" spans="1:12" ht="14.25" customHeight="1" x14ac:dyDescent="0.25">
      <c r="A20" s="45"/>
      <c r="B20" s="112" t="s">
        <v>2144</v>
      </c>
      <c r="C20" s="112"/>
      <c r="D20" s="112"/>
      <c r="E20" s="112"/>
      <c r="F20" s="112"/>
      <c r="G20" s="112"/>
      <c r="H20" s="112"/>
      <c r="I20" s="112"/>
      <c r="J20" s="112"/>
      <c r="K20" s="45"/>
    </row>
    <row r="21" spans="1:12" ht="19.5" customHeight="1" x14ac:dyDescent="0.25">
      <c r="A21" s="45"/>
      <c r="B21" s="2509" t="s">
        <v>2145</v>
      </c>
      <c r="C21" s="2509"/>
      <c r="D21" s="2523"/>
      <c r="E21" s="2524"/>
      <c r="F21" s="2524"/>
      <c r="G21" s="2524"/>
      <c r="H21" s="2524"/>
      <c r="I21" s="2525"/>
      <c r="J21" s="45"/>
      <c r="K21" s="45"/>
    </row>
    <row r="22" spans="1:12" ht="42" customHeight="1" x14ac:dyDescent="0.25">
      <c r="A22" s="45"/>
      <c r="B22" s="2509" t="s">
        <v>1904</v>
      </c>
      <c r="C22" s="2509"/>
      <c r="D22" s="2523"/>
      <c r="E22" s="2524"/>
      <c r="F22" s="2524"/>
      <c r="G22" s="2524"/>
      <c r="H22" s="2524"/>
      <c r="I22" s="2525"/>
      <c r="J22" s="45"/>
      <c r="K22" s="45"/>
    </row>
    <row r="23" spans="1:12" ht="42" customHeight="1" x14ac:dyDescent="0.25">
      <c r="A23" s="45"/>
      <c r="B23" s="2509" t="s">
        <v>1905</v>
      </c>
      <c r="C23" s="2509"/>
      <c r="D23" s="2523"/>
      <c r="E23" s="2524"/>
      <c r="F23" s="2524"/>
      <c r="G23" s="2524"/>
      <c r="H23" s="2524"/>
      <c r="I23" s="2525"/>
      <c r="J23" s="45"/>
      <c r="K23" s="45"/>
      <c r="L23" s="35">
        <f>IF(AND(D21&lt;&gt;"",D22&lt;&gt;"",D23&lt;&gt;""),1,0)</f>
        <v>0</v>
      </c>
    </row>
    <row r="24" spans="1:12" ht="16.5" customHeight="1" x14ac:dyDescent="0.25">
      <c r="A24" s="45"/>
      <c r="B24" s="45"/>
      <c r="C24" s="45"/>
      <c r="D24" s="45"/>
      <c r="E24" s="45"/>
      <c r="F24" s="45"/>
      <c r="G24" s="45"/>
      <c r="H24" s="45"/>
      <c r="I24" s="45"/>
      <c r="J24" s="45"/>
      <c r="K24" s="45"/>
    </row>
    <row r="25" spans="1:12" ht="14.25" customHeight="1" x14ac:dyDescent="0.25">
      <c r="A25" s="45"/>
      <c r="B25" s="112" t="s">
        <v>2146</v>
      </c>
      <c r="C25" s="112"/>
      <c r="D25" s="112"/>
      <c r="E25" s="112"/>
      <c r="F25" s="112"/>
      <c r="G25" s="112"/>
      <c r="H25" s="112"/>
      <c r="I25" s="112"/>
      <c r="J25" s="112"/>
      <c r="K25" s="45"/>
    </row>
    <row r="26" spans="1:12" ht="19.5" customHeight="1" x14ac:dyDescent="0.25">
      <c r="A26" s="45"/>
      <c r="B26" s="2509" t="s">
        <v>2145</v>
      </c>
      <c r="C26" s="2509"/>
      <c r="D26" s="2523"/>
      <c r="E26" s="2524"/>
      <c r="F26" s="2524"/>
      <c r="G26" s="2524"/>
      <c r="H26" s="2524"/>
      <c r="I26" s="2525"/>
      <c r="J26" s="45"/>
      <c r="K26" s="45"/>
    </row>
    <row r="27" spans="1:12" ht="42" customHeight="1" x14ac:dyDescent="0.25">
      <c r="A27" s="45"/>
      <c r="B27" s="2509" t="s">
        <v>1904</v>
      </c>
      <c r="C27" s="2509"/>
      <c r="D27" s="2523"/>
      <c r="E27" s="2524"/>
      <c r="F27" s="2524"/>
      <c r="G27" s="2524"/>
      <c r="H27" s="2524"/>
      <c r="I27" s="2525"/>
      <c r="J27" s="45"/>
      <c r="K27" s="45"/>
    </row>
    <row r="28" spans="1:12" ht="42" customHeight="1" x14ac:dyDescent="0.25">
      <c r="A28" s="45"/>
      <c r="B28" s="2509" t="s">
        <v>1905</v>
      </c>
      <c r="C28" s="2509"/>
      <c r="D28" s="2523"/>
      <c r="E28" s="2524"/>
      <c r="F28" s="2524"/>
      <c r="G28" s="2524"/>
      <c r="H28" s="2524"/>
      <c r="I28" s="2525"/>
      <c r="J28" s="45"/>
      <c r="K28" s="45"/>
      <c r="L28" s="35">
        <f>IF(AND(D26&lt;&gt;"",D27&lt;&gt;"",D28&lt;&gt;""),1,0)</f>
        <v>0</v>
      </c>
    </row>
    <row r="29" spans="1:12" ht="16.5" customHeight="1" x14ac:dyDescent="0.25">
      <c r="A29" s="45"/>
      <c r="B29" s="45"/>
      <c r="C29" s="45"/>
      <c r="D29" s="45"/>
      <c r="E29" s="45"/>
      <c r="F29" s="45"/>
      <c r="G29" s="45"/>
      <c r="H29" s="45"/>
      <c r="I29" s="45"/>
      <c r="J29" s="45"/>
      <c r="K29" s="45"/>
    </row>
    <row r="30" spans="1:12" ht="14.25" customHeight="1" x14ac:dyDescent="0.25">
      <c r="A30" s="45"/>
      <c r="B30" s="112" t="s">
        <v>2147</v>
      </c>
      <c r="C30" s="112"/>
      <c r="D30" s="112"/>
      <c r="E30" s="112"/>
      <c r="F30" s="112"/>
      <c r="G30" s="112"/>
      <c r="H30" s="112"/>
      <c r="I30" s="112"/>
      <c r="J30" s="112"/>
      <c r="K30" s="45"/>
    </row>
    <row r="31" spans="1:12" ht="19.5" customHeight="1" x14ac:dyDescent="0.25">
      <c r="A31" s="45"/>
      <c r="B31" s="2509" t="s">
        <v>2145</v>
      </c>
      <c r="C31" s="2509"/>
      <c r="D31" s="2523"/>
      <c r="E31" s="2524"/>
      <c r="F31" s="2524"/>
      <c r="G31" s="2524"/>
      <c r="H31" s="2524"/>
      <c r="I31" s="2525"/>
      <c r="J31" s="45"/>
      <c r="K31" s="45"/>
    </row>
    <row r="32" spans="1:12" ht="42" customHeight="1" x14ac:dyDescent="0.25">
      <c r="A32" s="45"/>
      <c r="B32" s="2509" t="s">
        <v>1904</v>
      </c>
      <c r="C32" s="2509"/>
      <c r="D32" s="2523"/>
      <c r="E32" s="2524"/>
      <c r="F32" s="2524"/>
      <c r="G32" s="2524"/>
      <c r="H32" s="2524"/>
      <c r="I32" s="2525"/>
      <c r="J32" s="45"/>
      <c r="K32" s="45"/>
    </row>
    <row r="33" spans="1:13" ht="42" customHeight="1" x14ac:dyDescent="0.25">
      <c r="A33" s="45"/>
      <c r="B33" s="2509" t="s">
        <v>1905</v>
      </c>
      <c r="C33" s="2509"/>
      <c r="D33" s="2523"/>
      <c r="E33" s="2524"/>
      <c r="F33" s="2524"/>
      <c r="G33" s="2524"/>
      <c r="H33" s="2524"/>
      <c r="I33" s="2525"/>
      <c r="J33" s="45"/>
      <c r="K33" s="45"/>
      <c r="L33" s="35">
        <f>IF(AND(D31&lt;&gt;"",D32&lt;&gt;"",D33&lt;&gt;""),1,0)</f>
        <v>0</v>
      </c>
    </row>
    <row r="34" spans="1:13" ht="16.5" customHeight="1" x14ac:dyDescent="0.25">
      <c r="A34" s="45"/>
      <c r="B34" s="45"/>
      <c r="C34" s="45"/>
      <c r="D34" s="45"/>
      <c r="E34" s="45"/>
      <c r="F34" s="45"/>
      <c r="G34" s="45"/>
      <c r="H34" s="45"/>
      <c r="I34" s="45"/>
      <c r="J34" s="45"/>
      <c r="K34" s="45"/>
    </row>
    <row r="35" spans="1:13" ht="14.25" customHeight="1" x14ac:dyDescent="0.25">
      <c r="A35" s="45"/>
      <c r="B35" s="112" t="s">
        <v>2148</v>
      </c>
      <c r="C35" s="112"/>
      <c r="D35" s="112"/>
      <c r="E35" s="112"/>
      <c r="F35" s="112"/>
      <c r="G35" s="112"/>
      <c r="H35" s="112"/>
      <c r="I35" s="112"/>
      <c r="J35" s="112"/>
      <c r="K35" s="45"/>
    </row>
    <row r="36" spans="1:13" ht="19.5" customHeight="1" x14ac:dyDescent="0.25">
      <c r="A36" s="45"/>
      <c r="B36" s="2509" t="s">
        <v>2145</v>
      </c>
      <c r="C36" s="2509"/>
      <c r="D36" s="2523"/>
      <c r="E36" s="2524"/>
      <c r="F36" s="2524"/>
      <c r="G36" s="2524"/>
      <c r="H36" s="2524"/>
      <c r="I36" s="2525"/>
      <c r="J36" s="45"/>
      <c r="K36" s="45"/>
    </row>
    <row r="37" spans="1:13" ht="42" customHeight="1" x14ac:dyDescent="0.25">
      <c r="A37" s="45"/>
      <c r="B37" s="2509" t="s">
        <v>1904</v>
      </c>
      <c r="C37" s="2509"/>
      <c r="D37" s="2523"/>
      <c r="E37" s="2524"/>
      <c r="F37" s="2524"/>
      <c r="G37" s="2524"/>
      <c r="H37" s="2524"/>
      <c r="I37" s="2525"/>
      <c r="J37" s="45"/>
      <c r="K37" s="45"/>
    </row>
    <row r="38" spans="1:13" ht="42" customHeight="1" x14ac:dyDescent="0.25">
      <c r="A38" s="45"/>
      <c r="B38" s="2509" t="s">
        <v>1905</v>
      </c>
      <c r="C38" s="2509"/>
      <c r="D38" s="2523"/>
      <c r="E38" s="2524"/>
      <c r="F38" s="2524"/>
      <c r="G38" s="2524"/>
      <c r="H38" s="2524"/>
      <c r="I38" s="2525"/>
      <c r="J38" s="45"/>
      <c r="K38" s="45"/>
      <c r="L38" s="35">
        <f>IF(AND(D36&lt;&gt;"",D37&lt;&gt;"",D38&lt;&gt;""),1,0)</f>
        <v>0</v>
      </c>
    </row>
    <row r="39" spans="1:13" ht="20.25" customHeight="1" x14ac:dyDescent="0.25">
      <c r="A39" s="45"/>
      <c r="B39" s="45"/>
      <c r="C39" s="45"/>
      <c r="D39" s="45"/>
      <c r="E39" s="45"/>
      <c r="F39" s="45"/>
      <c r="G39" s="45"/>
      <c r="H39" s="45"/>
      <c r="I39" s="45"/>
      <c r="J39" s="45"/>
      <c r="K39" s="45"/>
    </row>
    <row r="40" spans="1:13" ht="18" customHeight="1" x14ac:dyDescent="0.25">
      <c r="A40" s="2514" t="s">
        <v>84</v>
      </c>
      <c r="B40" s="2514"/>
      <c r="C40" s="2514"/>
      <c r="D40" s="2514"/>
      <c r="E40" s="2514"/>
      <c r="F40" s="2514"/>
      <c r="G40" s="2514"/>
      <c r="H40" s="2514"/>
      <c r="I40" s="2514"/>
      <c r="J40" s="2514"/>
      <c r="K40" s="2514"/>
    </row>
    <row r="41" spans="1:13" ht="12.75" customHeight="1" x14ac:dyDescent="0.25">
      <c r="A41" s="45"/>
      <c r="B41" s="46"/>
      <c r="C41" s="46"/>
      <c r="D41" s="46"/>
      <c r="E41" s="45"/>
      <c r="F41" s="45"/>
      <c r="G41" s="45"/>
      <c r="H41" s="45"/>
      <c r="I41" s="45"/>
      <c r="J41" s="45"/>
      <c r="K41" s="45"/>
    </row>
    <row r="42" spans="1:13" ht="21" customHeight="1" x14ac:dyDescent="0.25">
      <c r="A42" s="45"/>
      <c r="B42" s="2526" t="s">
        <v>1906</v>
      </c>
      <c r="C42" s="2527"/>
      <c r="D42" s="2527"/>
      <c r="E42" s="2527"/>
      <c r="F42" s="2527"/>
      <c r="G42" s="1164" t="s">
        <v>907</v>
      </c>
      <c r="H42" s="2528" t="s">
        <v>908</v>
      </c>
      <c r="I42" s="2529"/>
      <c r="J42" s="45"/>
      <c r="K42" s="45"/>
    </row>
    <row r="43" spans="1:13" ht="30" customHeight="1" x14ac:dyDescent="0.25">
      <c r="A43" s="45"/>
      <c r="B43" s="1648" t="str">
        <f>Submittals!G165</f>
        <v xml:space="preserve">• Supporting evidence demonstrating that the construction, installation or implementation has been done according to the description provided. </v>
      </c>
      <c r="C43" s="1649"/>
      <c r="D43" s="1649"/>
      <c r="E43" s="1649"/>
      <c r="F43" s="1650"/>
      <c r="G43" s="1150" t="s">
        <v>53</v>
      </c>
      <c r="H43" s="1689"/>
      <c r="I43" s="1690"/>
      <c r="J43" s="45"/>
      <c r="K43" s="45"/>
      <c r="L43" s="35" t="str">
        <f>IF(OR(B43="/",B43="No evidence required at this submission stage"),"Yes",IF(G43="Submitted","Yes","No"))</f>
        <v>No</v>
      </c>
    </row>
    <row r="44" spans="1:13" ht="30" customHeight="1" x14ac:dyDescent="0.25">
      <c r="A44" s="45"/>
      <c r="B44" s="1648" t="str">
        <f>Submittals!G166</f>
        <v>• If necessary, supporting evidence verifying the expected performance such as manufacturer’s data, calculations, etc.</v>
      </c>
      <c r="C44" s="1649"/>
      <c r="D44" s="1649"/>
      <c r="E44" s="1649"/>
      <c r="F44" s="1650"/>
      <c r="G44" s="1150" t="s">
        <v>53</v>
      </c>
      <c r="H44" s="1689"/>
      <c r="I44" s="1690"/>
      <c r="J44" s="45"/>
      <c r="K44" s="45"/>
      <c r="L44" s="35" t="str">
        <f>IF(OR(B44="/",B44="No evidence required at this submission stage"),"Yes",IF(G44="Submitted","Yes","No"))</f>
        <v>No</v>
      </c>
      <c r="M44" s="35" t="str">
        <f>IF(AND(L43="Yes",L44="Yes"),"Yes","No")</f>
        <v>No</v>
      </c>
    </row>
    <row r="45" spans="1:13" ht="12.75" customHeight="1" x14ac:dyDescent="0.25">
      <c r="A45" s="45"/>
      <c r="B45" s="46"/>
      <c r="C45" s="46"/>
      <c r="D45" s="46"/>
      <c r="E45" s="45"/>
      <c r="F45" s="45"/>
      <c r="G45" s="45"/>
      <c r="H45" s="45"/>
      <c r="I45" s="45"/>
      <c r="J45" s="45"/>
      <c r="K45" s="45"/>
    </row>
    <row r="46" spans="1:13" ht="21" customHeight="1" x14ac:dyDescent="0.25">
      <c r="A46" s="45"/>
      <c r="B46" s="2526" t="s">
        <v>1909</v>
      </c>
      <c r="C46" s="2527"/>
      <c r="D46" s="2527"/>
      <c r="E46" s="2527"/>
      <c r="F46" s="2527"/>
      <c r="G46" s="1164" t="s">
        <v>907</v>
      </c>
      <c r="H46" s="2528" t="s">
        <v>908</v>
      </c>
      <c r="I46" s="2529"/>
      <c r="J46" s="45"/>
      <c r="K46" s="45"/>
    </row>
    <row r="47" spans="1:13" ht="30" customHeight="1" x14ac:dyDescent="0.25">
      <c r="A47" s="45"/>
      <c r="B47" s="1648" t="str">
        <f>Submittals!G165</f>
        <v xml:space="preserve">• Supporting evidence demonstrating that the construction, installation or implementation has been done according to the description provided. </v>
      </c>
      <c r="C47" s="1649"/>
      <c r="D47" s="1649"/>
      <c r="E47" s="1649"/>
      <c r="F47" s="1650"/>
      <c r="G47" s="1150" t="s">
        <v>53</v>
      </c>
      <c r="H47" s="1689"/>
      <c r="I47" s="1690"/>
      <c r="J47" s="45"/>
      <c r="K47" s="45"/>
      <c r="L47" s="35" t="str">
        <f>IF(OR(B47="/",B47="No evidence required at this submission stage"),"Yes",IF(G47="Submitted","Yes","No"))</f>
        <v>No</v>
      </c>
    </row>
    <row r="48" spans="1:13" ht="30" customHeight="1" x14ac:dyDescent="0.25">
      <c r="A48" s="45"/>
      <c r="B48" s="1648" t="str">
        <f>Submittals!G166</f>
        <v>• If necessary, supporting evidence verifying the expected performance such as manufacturer’s data, calculations, etc.</v>
      </c>
      <c r="C48" s="1649"/>
      <c r="D48" s="1649"/>
      <c r="E48" s="1649"/>
      <c r="F48" s="1650"/>
      <c r="G48" s="1150" t="s">
        <v>53</v>
      </c>
      <c r="H48" s="1689"/>
      <c r="I48" s="1690"/>
      <c r="J48" s="45"/>
      <c r="K48" s="45"/>
      <c r="L48" s="35" t="str">
        <f>IF(OR(B48="/",B48="No evidence required at this submission stage"),"Yes",IF(G48="Submitted","Yes","No"))</f>
        <v>No</v>
      </c>
      <c r="M48" s="35" t="str">
        <f>IF(AND(L47="Yes",L48="Yes"),"Yes","No")</f>
        <v>No</v>
      </c>
    </row>
    <row r="49" spans="1:13" ht="12.75" customHeight="1" x14ac:dyDescent="0.25">
      <c r="A49" s="45"/>
      <c r="B49" s="46"/>
      <c r="C49" s="46"/>
      <c r="D49" s="46"/>
      <c r="E49" s="45"/>
      <c r="F49" s="45"/>
      <c r="G49" s="45"/>
      <c r="H49" s="45"/>
      <c r="I49" s="45"/>
      <c r="J49" s="45"/>
      <c r="K49" s="45"/>
    </row>
    <row r="50" spans="1:13" ht="21" customHeight="1" x14ac:dyDescent="0.25">
      <c r="A50" s="45"/>
      <c r="B50" s="2526" t="s">
        <v>1908</v>
      </c>
      <c r="C50" s="2527"/>
      <c r="D50" s="2527"/>
      <c r="E50" s="2527"/>
      <c r="F50" s="2527"/>
      <c r="G50" s="1164" t="s">
        <v>907</v>
      </c>
      <c r="H50" s="2528" t="s">
        <v>908</v>
      </c>
      <c r="I50" s="2529"/>
      <c r="J50" s="45"/>
      <c r="K50" s="45"/>
    </row>
    <row r="51" spans="1:13" ht="30" customHeight="1" x14ac:dyDescent="0.25">
      <c r="A51" s="45"/>
      <c r="B51" s="1648" t="str">
        <f>Submittals!G165</f>
        <v xml:space="preserve">• Supporting evidence demonstrating that the construction, installation or implementation has been done according to the description provided. </v>
      </c>
      <c r="C51" s="1649"/>
      <c r="D51" s="1649"/>
      <c r="E51" s="1649"/>
      <c r="F51" s="1650"/>
      <c r="G51" s="1150" t="s">
        <v>53</v>
      </c>
      <c r="H51" s="1689"/>
      <c r="I51" s="1690"/>
      <c r="J51" s="45"/>
      <c r="K51" s="45"/>
      <c r="L51" s="35" t="str">
        <f>IF(OR(B51="/",B51="No evidence required at this submission stage"),"Yes",IF(G51="Submitted","Yes","No"))</f>
        <v>No</v>
      </c>
    </row>
    <row r="52" spans="1:13" ht="30" customHeight="1" x14ac:dyDescent="0.25">
      <c r="A52" s="45"/>
      <c r="B52" s="1648" t="str">
        <f>Submittals!G166</f>
        <v>• If necessary, supporting evidence verifying the expected performance such as manufacturer’s data, calculations, etc.</v>
      </c>
      <c r="C52" s="1649"/>
      <c r="D52" s="1649"/>
      <c r="E52" s="1649"/>
      <c r="F52" s="1650"/>
      <c r="G52" s="1150" t="s">
        <v>53</v>
      </c>
      <c r="H52" s="1689"/>
      <c r="I52" s="1690"/>
      <c r="J52" s="45"/>
      <c r="K52" s="45"/>
      <c r="L52" s="35" t="str">
        <f>IF(OR(B52="/",B52="No evidence required at this submission stage"),"Yes",IF(G52="Submitted","Yes","No"))</f>
        <v>No</v>
      </c>
      <c r="M52" s="35" t="str">
        <f>IF(AND(L51="Yes",L52="Yes"),"Yes","No")</f>
        <v>No</v>
      </c>
    </row>
    <row r="53" spans="1:13" ht="12.75" customHeight="1" x14ac:dyDescent="0.25">
      <c r="A53" s="45"/>
      <c r="B53" s="46"/>
      <c r="C53" s="46"/>
      <c r="D53" s="46"/>
      <c r="E53" s="45"/>
      <c r="F53" s="45"/>
      <c r="G53" s="45"/>
      <c r="H53" s="45"/>
      <c r="I53" s="45"/>
      <c r="J53" s="45"/>
      <c r="K53" s="45"/>
    </row>
    <row r="54" spans="1:13" ht="21" customHeight="1" x14ac:dyDescent="0.25">
      <c r="A54" s="45"/>
      <c r="B54" s="2526" t="s">
        <v>1907</v>
      </c>
      <c r="C54" s="2527"/>
      <c r="D54" s="2527"/>
      <c r="E54" s="2527"/>
      <c r="F54" s="2527"/>
      <c r="G54" s="1164" t="s">
        <v>907</v>
      </c>
      <c r="H54" s="2528" t="s">
        <v>908</v>
      </c>
      <c r="I54" s="2529"/>
      <c r="J54" s="45"/>
      <c r="K54" s="45"/>
    </row>
    <row r="55" spans="1:13" ht="30" customHeight="1" x14ac:dyDescent="0.25">
      <c r="A55" s="45"/>
      <c r="B55" s="1648" t="str">
        <f>Submittals!G165</f>
        <v xml:space="preserve">• Supporting evidence demonstrating that the construction, installation or implementation has been done according to the description provided. </v>
      </c>
      <c r="C55" s="1649"/>
      <c r="D55" s="1649"/>
      <c r="E55" s="1649"/>
      <c r="F55" s="1650"/>
      <c r="G55" s="1150" t="s">
        <v>53</v>
      </c>
      <c r="H55" s="1689"/>
      <c r="I55" s="1690"/>
      <c r="J55" s="45"/>
      <c r="K55" s="45"/>
      <c r="L55" s="35" t="str">
        <f>IF(OR(B55="/",B55="No evidence required at this submission stage"),"Yes",IF(G55="Submitted","Yes","No"))</f>
        <v>No</v>
      </c>
    </row>
    <row r="56" spans="1:13" ht="30" customHeight="1" x14ac:dyDescent="0.25">
      <c r="A56" s="45"/>
      <c r="B56" s="1648" t="str">
        <f>Submittals!G166</f>
        <v>• If necessary, supporting evidence verifying the expected performance such as manufacturer’s data, calculations, etc.</v>
      </c>
      <c r="C56" s="1649"/>
      <c r="D56" s="1649"/>
      <c r="E56" s="1649"/>
      <c r="F56" s="1650"/>
      <c r="G56" s="1150" t="s">
        <v>53</v>
      </c>
      <c r="H56" s="1689"/>
      <c r="I56" s="1690"/>
      <c r="J56" s="45"/>
      <c r="K56" s="45"/>
      <c r="L56" s="35" t="str">
        <f>IF(OR(B56="/",B56="No evidence required at this submission stage"),"Yes",IF(G56="Submitted","Yes","No"))</f>
        <v>No</v>
      </c>
      <c r="M56" s="35" t="str">
        <f>IF(AND(L55="Yes",L56="Yes"),"Yes","No")</f>
        <v>No</v>
      </c>
    </row>
    <row r="57" spans="1:13" ht="12.75" customHeight="1" x14ac:dyDescent="0.25">
      <c r="A57" s="45"/>
      <c r="B57" s="46"/>
      <c r="C57" s="46"/>
      <c r="D57" s="46"/>
      <c r="E57" s="45"/>
      <c r="F57" s="45"/>
      <c r="G57" s="45"/>
      <c r="H57" s="45"/>
      <c r="I57" s="45"/>
      <c r="J57" s="45"/>
      <c r="K57" s="45"/>
    </row>
    <row r="58" spans="1:13" ht="18" customHeight="1" x14ac:dyDescent="0.25">
      <c r="A58" s="2514" t="s">
        <v>5</v>
      </c>
      <c r="B58" s="2514"/>
      <c r="C58" s="2514"/>
      <c r="D58" s="2514"/>
      <c r="E58" s="2514"/>
      <c r="F58" s="2514"/>
      <c r="G58" s="2514"/>
      <c r="H58" s="2514"/>
      <c r="I58" s="2514"/>
      <c r="J58" s="2514"/>
      <c r="K58" s="2514"/>
    </row>
    <row r="59" spans="1:13" x14ac:dyDescent="0.25">
      <c r="A59" s="45"/>
      <c r="B59" s="46"/>
      <c r="C59" s="46"/>
      <c r="D59" s="46"/>
      <c r="E59" s="46"/>
      <c r="F59" s="45"/>
      <c r="G59" s="45"/>
      <c r="H59" s="45"/>
      <c r="I59" s="45"/>
      <c r="J59" s="45"/>
      <c r="K59" s="45"/>
    </row>
    <row r="60" spans="1:13" ht="17.25" customHeight="1" x14ac:dyDescent="0.25">
      <c r="A60" s="45"/>
      <c r="B60" s="233" t="s">
        <v>16</v>
      </c>
      <c r="C60" s="8">
        <f>SUM(L23:L38)</f>
        <v>0</v>
      </c>
      <c r="D60" s="46"/>
      <c r="E60" s="45"/>
      <c r="F60" s="45"/>
      <c r="G60" s="45"/>
      <c r="H60" s="45"/>
      <c r="I60" s="45"/>
      <c r="J60" s="45"/>
      <c r="K60" s="45"/>
    </row>
    <row r="61" spans="1:13" ht="17.25" customHeight="1" x14ac:dyDescent="0.25">
      <c r="A61" s="45"/>
      <c r="B61" s="233" t="s">
        <v>133</v>
      </c>
      <c r="C61" s="108" t="str">
        <f>IF(C60&gt;0,IF(C60=COUNTIF(M44:M56,"Yes"),"Yes","No"),"No")</f>
        <v>No</v>
      </c>
      <c r="D61" s="46"/>
      <c r="E61" s="46"/>
      <c r="F61" s="45"/>
      <c r="G61" s="45"/>
      <c r="H61" s="45"/>
      <c r="I61" s="45"/>
      <c r="J61" s="45"/>
      <c r="K61" s="45"/>
    </row>
    <row r="62" spans="1:13" x14ac:dyDescent="0.25">
      <c r="A62" s="45"/>
      <c r="B62" s="46"/>
      <c r="C62" s="46"/>
      <c r="D62" s="46"/>
      <c r="E62" s="46"/>
      <c r="F62" s="45"/>
      <c r="G62" s="45"/>
      <c r="H62" s="45"/>
      <c r="I62" s="45"/>
      <c r="J62" s="45"/>
      <c r="K62" s="45"/>
    </row>
    <row r="63" spans="1:13" hidden="1" x14ac:dyDescent="0.25">
      <c r="J63" s="45"/>
      <c r="K63" s="45"/>
    </row>
    <row r="64" spans="1:13" hidden="1" x14ac:dyDescent="0.25">
      <c r="J64" s="45"/>
      <c r="K64" s="45"/>
    </row>
    <row r="65" spans="10:11" hidden="1" x14ac:dyDescent="0.25">
      <c r="J65" s="45"/>
      <c r="K65" s="45"/>
    </row>
    <row r="66" spans="10:11" ht="15" hidden="1" customHeight="1" x14ac:dyDescent="0.25"/>
    <row r="67" spans="10:11" ht="15" hidden="1" customHeight="1" x14ac:dyDescent="0.25"/>
    <row r="68" spans="10:11" ht="15" hidden="1" customHeight="1" x14ac:dyDescent="0.25"/>
    <row r="69" spans="10:11" ht="15" hidden="1" customHeight="1" x14ac:dyDescent="0.25"/>
    <row r="70" spans="10:11" ht="15" hidden="1" customHeight="1" x14ac:dyDescent="0.25"/>
    <row r="71" spans="10:11" ht="15" hidden="1" customHeight="1" x14ac:dyDescent="0.25"/>
    <row r="72" spans="10:11" ht="15" hidden="1" customHeight="1" x14ac:dyDescent="0.25"/>
    <row r="73" spans="10:11" ht="15" hidden="1" customHeight="1" x14ac:dyDescent="0.25"/>
    <row r="74" spans="10:11" ht="15" hidden="1" customHeight="1" x14ac:dyDescent="0.25"/>
    <row r="75" spans="10:11" ht="15" hidden="1" customHeight="1" x14ac:dyDescent="0.25"/>
    <row r="76" spans="10:11" ht="15" hidden="1" customHeight="1" x14ac:dyDescent="0.25"/>
    <row r="77" spans="10:11" ht="15" hidden="1" customHeight="1" x14ac:dyDescent="0.25"/>
    <row r="78" spans="10:11" ht="15" hidden="1" customHeight="1" x14ac:dyDescent="0.25"/>
    <row r="79" spans="10:11" ht="15" hidden="1" customHeight="1" x14ac:dyDescent="0.25"/>
    <row r="80" spans="10: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sheetData>
  <sheetProtection algorithmName="SHA-512" hashValue="odSW/4rovzCLXAdw9WHiJNw5tkguvKxWH09JZ/MTp8/qaa9RVOaKjcZ7d2LWgwMO79Im4gXRO2n1qemASY3TGQ==" saltValue="0l/DisoejY6MNljNW01y6A==" spinCount="100000" sheet="1" objects="1" scenarios="1" formatRows="0"/>
  <mergeCells count="57">
    <mergeCell ref="D32:I32"/>
    <mergeCell ref="D33:I33"/>
    <mergeCell ref="D36:I36"/>
    <mergeCell ref="B55:F55"/>
    <mergeCell ref="H55:I55"/>
    <mergeCell ref="B56:F56"/>
    <mergeCell ref="H56:I56"/>
    <mergeCell ref="D38:I38"/>
    <mergeCell ref="B51:F51"/>
    <mergeCell ref="H51:I51"/>
    <mergeCell ref="B52:F52"/>
    <mergeCell ref="H52:I52"/>
    <mergeCell ref="B54:F54"/>
    <mergeCell ref="H54:I54"/>
    <mergeCell ref="B47:F47"/>
    <mergeCell ref="H47:I47"/>
    <mergeCell ref="B48:F48"/>
    <mergeCell ref="H48:I48"/>
    <mergeCell ref="B50:F50"/>
    <mergeCell ref="H50:I50"/>
    <mergeCell ref="H43:I43"/>
    <mergeCell ref="B44:F44"/>
    <mergeCell ref="H44:I44"/>
    <mergeCell ref="B46:F46"/>
    <mergeCell ref="H46:I46"/>
    <mergeCell ref="A40:K40"/>
    <mergeCell ref="A58:K58"/>
    <mergeCell ref="B32:C32"/>
    <mergeCell ref="B38:C38"/>
    <mergeCell ref="B23:C23"/>
    <mergeCell ref="B26:C26"/>
    <mergeCell ref="D23:I23"/>
    <mergeCell ref="D26:I26"/>
    <mergeCell ref="B36:C36"/>
    <mergeCell ref="B37:C37"/>
    <mergeCell ref="B33:C33"/>
    <mergeCell ref="D37:I37"/>
    <mergeCell ref="B28:C28"/>
    <mergeCell ref="B42:F42"/>
    <mergeCell ref="H42:I42"/>
    <mergeCell ref="B43:F43"/>
    <mergeCell ref="I2:J4"/>
    <mergeCell ref="A5:K7"/>
    <mergeCell ref="B11:E11"/>
    <mergeCell ref="B12:E12"/>
    <mergeCell ref="B31:C31"/>
    <mergeCell ref="K2:K4"/>
    <mergeCell ref="B27:C27"/>
    <mergeCell ref="D27:I27"/>
    <mergeCell ref="A9:K9"/>
    <mergeCell ref="A14:K14"/>
    <mergeCell ref="B21:C21"/>
    <mergeCell ref="B22:C22"/>
    <mergeCell ref="D21:I21"/>
    <mergeCell ref="D22:I22"/>
    <mergeCell ref="D28:I28"/>
    <mergeCell ref="D31:I31"/>
  </mergeCells>
  <conditionalFormatting sqref="G43:H44">
    <cfRule type="expression" dxfId="7" priority="7">
      <formula>$B43="No evidence required at this submission stage"</formula>
    </cfRule>
    <cfRule type="expression" dxfId="6" priority="8">
      <formula>$B43="/"</formula>
    </cfRule>
  </conditionalFormatting>
  <conditionalFormatting sqref="G47:H48">
    <cfRule type="expression" dxfId="5" priority="5">
      <formula>$B47="No evidence required at this submission stage"</formula>
    </cfRule>
    <cfRule type="expression" dxfId="4" priority="6">
      <formula>$B47="/"</formula>
    </cfRule>
  </conditionalFormatting>
  <conditionalFormatting sqref="G51:H52">
    <cfRule type="expression" dxfId="3" priority="3">
      <formula>$B51="No evidence required at this submission stage"</formula>
    </cfRule>
    <cfRule type="expression" dxfId="2" priority="4">
      <formula>$B51="/"</formula>
    </cfRule>
  </conditionalFormatting>
  <conditionalFormatting sqref="G55:H56">
    <cfRule type="expression" dxfId="1" priority="1">
      <formula>$B55="No evidence required at this submission stage"</formula>
    </cfRule>
    <cfRule type="expression" dxfId="0" priority="2">
      <formula>$B55="/"</formula>
    </cfRule>
  </conditionalFormatting>
  <dataValidations disablePrompts="1" count="1">
    <dataValidation type="list" allowBlank="1" showInputMessage="1" showErrorMessage="1" sqref="G43:G44 G47:G48 G51:G52 G55:G56" xr:uid="{00000000-0002-0000-3500-000000000000}">
      <formula1>"Select,Submitted,Not submitted"</formula1>
    </dataValidation>
  </dataValidations>
  <hyperlinks>
    <hyperlink ref="K2" location="'Inn-1 Exceptional Performance '!A1" tooltip="Inn-1" display="Inn-1" xr:uid="{00000000-0004-0000-3500-000000000000}"/>
    <hyperlink ref="K2:K4" location="'EP-1 Enhanced Performance '!C3" tooltip="EP-1" display="EP-1" xr:uid="{00000000-0004-0000-3500-000001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9">
    <tabColor theme="0"/>
  </sheetPr>
  <dimension ref="A1:U243"/>
  <sheetViews>
    <sheetView showRowColHeaders="0" zoomScaleNormal="100" workbookViewId="0">
      <pane ySplit="5" topLeftCell="A6" activePane="bottomLeft" state="frozen"/>
      <selection pane="bottomLeft" activeCell="H6" sqref="H6:P6"/>
    </sheetView>
  </sheetViews>
  <sheetFormatPr defaultColWidth="0" defaultRowHeight="15" customHeight="1" zeroHeight="1" x14ac:dyDescent="0.25"/>
  <cols>
    <col min="1" max="1" width="2.7109375" style="682" customWidth="1"/>
    <col min="2" max="2" width="9.7109375" style="682" customWidth="1"/>
    <col min="3" max="6" width="8.5703125" style="682" customWidth="1"/>
    <col min="7" max="7" width="10.7109375" style="682" customWidth="1"/>
    <col min="8" max="11" width="9.140625" style="682" customWidth="1"/>
    <col min="12" max="12" width="21.28515625" style="682" customWidth="1"/>
    <col min="13" max="13" width="9.85546875" style="682" customWidth="1"/>
    <col min="14" max="14" width="8.5703125" style="682" customWidth="1"/>
    <col min="15" max="16" width="21.28515625" style="682" customWidth="1"/>
    <col min="17" max="17" width="9.140625" style="682" customWidth="1"/>
    <col min="18" max="16384" width="9.140625" style="682" hidden="1"/>
  </cols>
  <sheetData>
    <row r="1" spans="1:21" s="582" customFormat="1" ht="30" customHeight="1" x14ac:dyDescent="0.25">
      <c r="A1" s="2545" t="s">
        <v>1027</v>
      </c>
      <c r="B1" s="2545"/>
      <c r="C1" s="2545"/>
      <c r="D1" s="2545"/>
      <c r="E1" s="2545"/>
      <c r="F1" s="2545"/>
      <c r="G1" s="2545"/>
      <c r="H1" s="2545"/>
      <c r="I1" s="2545"/>
      <c r="J1" s="2545"/>
      <c r="K1" s="2545"/>
      <c r="L1" s="2545"/>
      <c r="M1" s="2545"/>
      <c r="N1" s="2545"/>
      <c r="O1" s="2545"/>
      <c r="P1" s="2545"/>
      <c r="Q1" s="2545"/>
      <c r="R1" s="681"/>
      <c r="S1" s="681"/>
      <c r="T1" s="681"/>
      <c r="U1" s="681"/>
    </row>
    <row r="2" spans="1:21" ht="18" customHeight="1" x14ac:dyDescent="0.25">
      <c r="A2" s="2546" t="s">
        <v>1029</v>
      </c>
      <c r="B2" s="2546"/>
      <c r="C2" s="2546"/>
      <c r="D2" s="2546"/>
      <c r="E2" s="2546"/>
      <c r="F2" s="2546"/>
      <c r="G2" s="2546"/>
      <c r="H2" s="2546"/>
      <c r="I2" s="2546"/>
      <c r="J2" s="2546"/>
      <c r="K2" s="2546"/>
      <c r="L2" s="2546"/>
      <c r="M2" s="2546"/>
      <c r="N2" s="2546"/>
      <c r="O2" s="2546"/>
      <c r="P2" s="2546"/>
      <c r="Q2" s="2546"/>
      <c r="R2" s="153"/>
      <c r="S2" s="153"/>
      <c r="T2" s="153"/>
      <c r="U2" s="153"/>
    </row>
    <row r="3" spans="1:21" ht="18" customHeight="1" x14ac:dyDescent="0.25">
      <c r="A3" s="2546"/>
      <c r="B3" s="2546"/>
      <c r="C3" s="2546"/>
      <c r="D3" s="2546"/>
      <c r="E3" s="2546"/>
      <c r="F3" s="2546"/>
      <c r="G3" s="2546"/>
      <c r="H3" s="2546"/>
      <c r="I3" s="2546"/>
      <c r="J3" s="2546"/>
      <c r="K3" s="2546"/>
      <c r="L3" s="2546"/>
      <c r="M3" s="2546"/>
      <c r="N3" s="2546"/>
      <c r="O3" s="2546"/>
      <c r="P3" s="2546"/>
      <c r="Q3" s="2546"/>
      <c r="R3" s="153"/>
      <c r="S3" s="153"/>
      <c r="T3" s="153"/>
      <c r="U3" s="153"/>
    </row>
    <row r="4" spans="1:21" ht="15" customHeight="1" x14ac:dyDescent="0.25">
      <c r="A4" s="153"/>
      <c r="B4" s="155"/>
      <c r="C4" s="153"/>
      <c r="D4" s="153"/>
      <c r="E4" s="153"/>
      <c r="F4" s="153"/>
      <c r="G4" s="153"/>
      <c r="H4" s="153"/>
      <c r="I4" s="153"/>
      <c r="J4" s="153"/>
      <c r="K4" s="153"/>
      <c r="L4" s="153"/>
      <c r="M4" s="153"/>
      <c r="N4" s="153"/>
      <c r="O4" s="153"/>
      <c r="P4" s="153"/>
      <c r="Q4" s="153"/>
      <c r="R4" s="153"/>
      <c r="S4" s="153"/>
      <c r="T4" s="153"/>
      <c r="U4" s="153"/>
    </row>
    <row r="5" spans="1:21" ht="30" customHeight="1" x14ac:dyDescent="0.25">
      <c r="A5" s="153"/>
      <c r="B5" s="1328" t="s">
        <v>118</v>
      </c>
      <c r="C5" s="2530" t="s">
        <v>193</v>
      </c>
      <c r="D5" s="2530"/>
      <c r="E5" s="2530"/>
      <c r="F5" s="2530"/>
      <c r="G5" s="1310" t="s">
        <v>1028</v>
      </c>
      <c r="H5" s="2531" t="s">
        <v>197</v>
      </c>
      <c r="I5" s="2531"/>
      <c r="J5" s="2531"/>
      <c r="K5" s="2531"/>
      <c r="L5" s="2531"/>
      <c r="M5" s="2531"/>
      <c r="N5" s="2531"/>
      <c r="O5" s="2531"/>
      <c r="P5" s="2532"/>
      <c r="Q5" s="153"/>
      <c r="R5" s="153"/>
      <c r="S5" s="153"/>
      <c r="T5" s="153"/>
      <c r="U5" s="153"/>
    </row>
    <row r="6" spans="1:21" ht="37.5" customHeight="1" x14ac:dyDescent="0.25">
      <c r="A6" s="153"/>
      <c r="B6" s="1313" t="s">
        <v>19</v>
      </c>
      <c r="C6" s="2533" t="s">
        <v>277</v>
      </c>
      <c r="D6" s="2533"/>
      <c r="E6" s="2533"/>
      <c r="F6" s="2534"/>
      <c r="G6" s="1300"/>
      <c r="H6" s="2535"/>
      <c r="I6" s="2536"/>
      <c r="J6" s="2536"/>
      <c r="K6" s="2536"/>
      <c r="L6" s="2536"/>
      <c r="M6" s="2536"/>
      <c r="N6" s="2536"/>
      <c r="O6" s="2536"/>
      <c r="P6" s="2537"/>
      <c r="Q6" s="153"/>
      <c r="R6" s="153"/>
      <c r="S6" s="153"/>
      <c r="T6" s="153"/>
      <c r="U6" s="153"/>
    </row>
    <row r="7" spans="1:21" ht="37.5" customHeight="1" x14ac:dyDescent="0.25">
      <c r="A7" s="153"/>
      <c r="B7" s="1314" t="s">
        <v>20</v>
      </c>
      <c r="C7" s="2538" t="s">
        <v>23</v>
      </c>
      <c r="D7" s="2538"/>
      <c r="E7" s="2538" t="s">
        <v>4</v>
      </c>
      <c r="F7" s="2539"/>
      <c r="G7" s="1301"/>
      <c r="H7" s="2540"/>
      <c r="I7" s="2541"/>
      <c r="J7" s="2541"/>
      <c r="K7" s="2541"/>
      <c r="L7" s="2541"/>
      <c r="M7" s="2541"/>
      <c r="N7" s="2541"/>
      <c r="O7" s="2541"/>
      <c r="P7" s="2542"/>
      <c r="Q7" s="153"/>
      <c r="R7" s="153"/>
      <c r="S7" s="153"/>
      <c r="T7" s="153"/>
      <c r="U7" s="153"/>
    </row>
    <row r="8" spans="1:21" ht="37.5" customHeight="1" x14ac:dyDescent="0.25">
      <c r="A8" s="153"/>
      <c r="B8" s="1313" t="s">
        <v>192</v>
      </c>
      <c r="C8" s="2538" t="s">
        <v>24</v>
      </c>
      <c r="D8" s="2538"/>
      <c r="E8" s="2538" t="s">
        <v>35</v>
      </c>
      <c r="F8" s="2539"/>
      <c r="G8" s="1302"/>
      <c r="H8" s="2543"/>
      <c r="I8" s="2536"/>
      <c r="J8" s="2536"/>
      <c r="K8" s="2536"/>
      <c r="L8" s="2536"/>
      <c r="M8" s="2536"/>
      <c r="N8" s="2536"/>
      <c r="O8" s="2536"/>
      <c r="P8" s="2537"/>
      <c r="Q8" s="153"/>
      <c r="R8" s="153"/>
      <c r="S8" s="153"/>
      <c r="T8" s="153"/>
      <c r="U8" s="153"/>
    </row>
    <row r="9" spans="1:21" ht="37.5" customHeight="1" x14ac:dyDescent="0.25">
      <c r="A9" s="153"/>
      <c r="B9" s="1314" t="s">
        <v>22</v>
      </c>
      <c r="C9" s="2538" t="s">
        <v>1616</v>
      </c>
      <c r="D9" s="2538"/>
      <c r="E9" s="2538" t="s">
        <v>54</v>
      </c>
      <c r="F9" s="2539"/>
      <c r="G9" s="1302"/>
      <c r="H9" s="2543"/>
      <c r="I9" s="2536"/>
      <c r="J9" s="2536"/>
      <c r="K9" s="2536"/>
      <c r="L9" s="2536"/>
      <c r="M9" s="2536"/>
      <c r="N9" s="2536"/>
      <c r="O9" s="2536"/>
      <c r="P9" s="2537"/>
      <c r="Q9" s="153"/>
      <c r="R9" s="153"/>
      <c r="S9" s="153"/>
      <c r="T9" s="153"/>
      <c r="U9" s="153"/>
    </row>
    <row r="10" spans="1:21" ht="37.5" customHeight="1" x14ac:dyDescent="0.25">
      <c r="A10" s="153"/>
      <c r="B10" s="1314" t="s">
        <v>1648</v>
      </c>
      <c r="C10" s="2538" t="s">
        <v>1618</v>
      </c>
      <c r="D10" s="2538"/>
      <c r="E10" s="2538" t="s">
        <v>54</v>
      </c>
      <c r="F10" s="2539"/>
      <c r="G10" s="1303"/>
      <c r="H10" s="2540"/>
      <c r="I10" s="2541"/>
      <c r="J10" s="2541"/>
      <c r="K10" s="2541"/>
      <c r="L10" s="2541"/>
      <c r="M10" s="2541"/>
      <c r="N10" s="2541"/>
      <c r="O10" s="2541"/>
      <c r="P10" s="2542"/>
      <c r="Q10" s="153"/>
      <c r="R10" s="153"/>
      <c r="S10" s="153"/>
      <c r="T10" s="153"/>
      <c r="U10" s="153"/>
    </row>
    <row r="11" spans="1:21" ht="37.5" customHeight="1" x14ac:dyDescent="0.25">
      <c r="A11" s="153"/>
      <c r="B11" s="1315" t="s">
        <v>29</v>
      </c>
      <c r="C11" s="2538" t="s">
        <v>30</v>
      </c>
      <c r="D11" s="2538"/>
      <c r="E11" s="2538" t="s">
        <v>14</v>
      </c>
      <c r="F11" s="2539"/>
      <c r="G11" s="1302"/>
      <c r="H11" s="2543"/>
      <c r="I11" s="2536"/>
      <c r="J11" s="2536"/>
      <c r="K11" s="2536"/>
      <c r="L11" s="2536"/>
      <c r="M11" s="2536"/>
      <c r="N11" s="2536"/>
      <c r="O11" s="2536"/>
      <c r="P11" s="2537"/>
      <c r="Q11" s="153"/>
      <c r="R11" s="153"/>
      <c r="S11" s="153"/>
      <c r="T11" s="153"/>
      <c r="U11" s="153"/>
    </row>
    <row r="12" spans="1:21" ht="37.5" customHeight="1" x14ac:dyDescent="0.25">
      <c r="A12" s="153"/>
      <c r="B12" s="1316" t="s">
        <v>32</v>
      </c>
      <c r="C12" s="2538" t="s">
        <v>194</v>
      </c>
      <c r="D12" s="2538"/>
      <c r="E12" s="2538" t="s">
        <v>101</v>
      </c>
      <c r="F12" s="2539"/>
      <c r="G12" s="1304"/>
      <c r="H12" s="2540"/>
      <c r="I12" s="2541"/>
      <c r="J12" s="2541"/>
      <c r="K12" s="2541"/>
      <c r="L12" s="2541"/>
      <c r="M12" s="2541"/>
      <c r="N12" s="2541"/>
      <c r="O12" s="2541"/>
      <c r="P12" s="2542"/>
      <c r="Q12" s="153"/>
      <c r="R12" s="153"/>
      <c r="S12" s="153"/>
      <c r="T12" s="153"/>
      <c r="U12" s="153"/>
    </row>
    <row r="13" spans="1:21" ht="37.5" customHeight="1" x14ac:dyDescent="0.25">
      <c r="A13" s="153"/>
      <c r="B13" s="1317" t="s">
        <v>2411</v>
      </c>
      <c r="C13" s="2538" t="s">
        <v>253</v>
      </c>
      <c r="D13" s="2538"/>
      <c r="E13" s="2538" t="s">
        <v>157</v>
      </c>
      <c r="F13" s="2539"/>
      <c r="G13" s="1302"/>
      <c r="H13" s="2543"/>
      <c r="I13" s="2536"/>
      <c r="J13" s="2536"/>
      <c r="K13" s="2536"/>
      <c r="L13" s="2536"/>
      <c r="M13" s="2536"/>
      <c r="N13" s="2536"/>
      <c r="O13" s="2536"/>
      <c r="P13" s="2537"/>
      <c r="Q13" s="153"/>
      <c r="R13" s="153"/>
      <c r="S13" s="153"/>
      <c r="T13" s="153"/>
      <c r="U13" s="153"/>
    </row>
    <row r="14" spans="1:21" ht="37.5" customHeight="1" x14ac:dyDescent="0.25">
      <c r="A14" s="153"/>
      <c r="B14" s="1318" t="s">
        <v>2285</v>
      </c>
      <c r="C14" s="2538" t="s">
        <v>254</v>
      </c>
      <c r="D14" s="2538"/>
      <c r="E14" s="2538" t="s">
        <v>157</v>
      </c>
      <c r="F14" s="2539"/>
      <c r="G14" s="1304"/>
      <c r="H14" s="2540"/>
      <c r="I14" s="2541"/>
      <c r="J14" s="2541"/>
      <c r="K14" s="2541"/>
      <c r="L14" s="2541"/>
      <c r="M14" s="2541"/>
      <c r="N14" s="2541"/>
      <c r="O14" s="2541"/>
      <c r="P14" s="2542"/>
      <c r="Q14" s="153"/>
      <c r="R14" s="153"/>
      <c r="S14" s="153"/>
      <c r="T14" s="153"/>
      <c r="U14" s="153"/>
    </row>
    <row r="15" spans="1:21" ht="37.5" customHeight="1" x14ac:dyDescent="0.25">
      <c r="A15" s="153"/>
      <c r="B15" s="1318" t="s">
        <v>2283</v>
      </c>
      <c r="C15" s="2538" t="s">
        <v>1949</v>
      </c>
      <c r="D15" s="2538"/>
      <c r="E15" s="2538" t="s">
        <v>157</v>
      </c>
      <c r="F15" s="2539"/>
      <c r="G15" s="1304"/>
      <c r="H15" s="2540"/>
      <c r="I15" s="2541"/>
      <c r="J15" s="2541"/>
      <c r="K15" s="2541"/>
      <c r="L15" s="2541"/>
      <c r="M15" s="2541"/>
      <c r="N15" s="2541"/>
      <c r="O15" s="2541"/>
      <c r="P15" s="2542"/>
      <c r="Q15" s="153"/>
      <c r="R15" s="153"/>
      <c r="S15" s="153"/>
      <c r="T15" s="153"/>
      <c r="U15" s="153"/>
    </row>
    <row r="16" spans="1:21" ht="37.5" customHeight="1" x14ac:dyDescent="0.25">
      <c r="A16" s="153"/>
      <c r="B16" s="1318" t="s">
        <v>2284</v>
      </c>
      <c r="C16" s="2538" t="s">
        <v>1948</v>
      </c>
      <c r="D16" s="2538"/>
      <c r="E16" s="2538" t="s">
        <v>157</v>
      </c>
      <c r="F16" s="2539"/>
      <c r="G16" s="1304"/>
      <c r="H16" s="2540"/>
      <c r="I16" s="2541"/>
      <c r="J16" s="2541"/>
      <c r="K16" s="2541"/>
      <c r="L16" s="2541"/>
      <c r="M16" s="2541"/>
      <c r="N16" s="2541"/>
      <c r="O16" s="2541"/>
      <c r="P16" s="2542"/>
      <c r="Q16" s="153"/>
      <c r="R16" s="153"/>
      <c r="S16" s="153"/>
      <c r="T16" s="153"/>
      <c r="U16" s="153"/>
    </row>
    <row r="17" spans="1:21" ht="37.5" customHeight="1" x14ac:dyDescent="0.25">
      <c r="A17" s="153"/>
      <c r="B17" s="1319" t="s">
        <v>26</v>
      </c>
      <c r="C17" s="2538" t="s">
        <v>27</v>
      </c>
      <c r="D17" s="2538"/>
      <c r="E17" s="2538" t="s">
        <v>2</v>
      </c>
      <c r="F17" s="2539"/>
      <c r="G17" s="1302"/>
      <c r="H17" s="2543"/>
      <c r="I17" s="2536"/>
      <c r="J17" s="2536"/>
      <c r="K17" s="2536"/>
      <c r="L17" s="2536"/>
      <c r="M17" s="2536"/>
      <c r="N17" s="2536"/>
      <c r="O17" s="2536"/>
      <c r="P17" s="2537"/>
      <c r="Q17" s="153"/>
      <c r="R17" s="153"/>
      <c r="S17" s="153"/>
      <c r="T17" s="153"/>
      <c r="U17" s="153"/>
    </row>
    <row r="18" spans="1:21" ht="37.5" customHeight="1" x14ac:dyDescent="0.25">
      <c r="A18" s="153"/>
      <c r="B18" s="1320" t="s">
        <v>28</v>
      </c>
      <c r="C18" s="2538" t="s">
        <v>845</v>
      </c>
      <c r="D18" s="2538"/>
      <c r="E18" s="2538" t="s">
        <v>3</v>
      </c>
      <c r="F18" s="2539"/>
      <c r="G18" s="1304"/>
      <c r="H18" s="2540"/>
      <c r="I18" s="2541"/>
      <c r="J18" s="2541"/>
      <c r="K18" s="2541"/>
      <c r="L18" s="2541"/>
      <c r="M18" s="2541"/>
      <c r="N18" s="2541"/>
      <c r="O18" s="2541"/>
      <c r="P18" s="2542"/>
      <c r="Q18" s="153"/>
      <c r="R18" s="153"/>
      <c r="S18" s="153"/>
      <c r="T18" s="153"/>
      <c r="U18" s="153"/>
    </row>
    <row r="19" spans="1:21" ht="37.5" customHeight="1" x14ac:dyDescent="0.25">
      <c r="A19" s="153"/>
      <c r="B19" s="1319" t="s">
        <v>31</v>
      </c>
      <c r="C19" s="2538" t="s">
        <v>268</v>
      </c>
      <c r="D19" s="2538"/>
      <c r="E19" s="2538" t="s">
        <v>59</v>
      </c>
      <c r="F19" s="2539"/>
      <c r="G19" s="1302"/>
      <c r="H19" s="2543"/>
      <c r="I19" s="2536"/>
      <c r="J19" s="2536"/>
      <c r="K19" s="2536"/>
      <c r="L19" s="2536"/>
      <c r="M19" s="2536"/>
      <c r="N19" s="2536"/>
      <c r="O19" s="2536"/>
      <c r="P19" s="2537"/>
      <c r="Q19" s="153"/>
      <c r="R19" s="153"/>
      <c r="S19" s="153"/>
      <c r="T19" s="153"/>
      <c r="U19" s="153"/>
    </row>
    <row r="20" spans="1:21" ht="37.5" customHeight="1" x14ac:dyDescent="0.25">
      <c r="A20" s="153"/>
      <c r="B20" s="1321" t="s">
        <v>33</v>
      </c>
      <c r="C20" s="2538" t="s">
        <v>1323</v>
      </c>
      <c r="D20" s="2538"/>
      <c r="E20" s="2538"/>
      <c r="F20" s="2539"/>
      <c r="G20" s="1304"/>
      <c r="H20" s="2540"/>
      <c r="I20" s="2541"/>
      <c r="J20" s="2541"/>
      <c r="K20" s="2541"/>
      <c r="L20" s="2541"/>
      <c r="M20" s="2541"/>
      <c r="N20" s="2541"/>
      <c r="O20" s="2541"/>
      <c r="P20" s="2542"/>
      <c r="Q20" s="153"/>
      <c r="R20" s="153"/>
      <c r="S20" s="153"/>
      <c r="T20" s="153"/>
      <c r="U20" s="153"/>
    </row>
    <row r="21" spans="1:21" ht="37.5" customHeight="1" x14ac:dyDescent="0.25">
      <c r="A21" s="153"/>
      <c r="B21" s="1321" t="s">
        <v>205</v>
      </c>
      <c r="C21" s="2538" t="s">
        <v>34</v>
      </c>
      <c r="D21" s="2538"/>
      <c r="E21" s="2538" t="s">
        <v>59</v>
      </c>
      <c r="F21" s="2539"/>
      <c r="G21" s="1305"/>
      <c r="H21" s="2543"/>
      <c r="I21" s="2536"/>
      <c r="J21" s="2536"/>
      <c r="K21" s="2536"/>
      <c r="L21" s="2536"/>
      <c r="M21" s="2536"/>
      <c r="N21" s="2536"/>
      <c r="O21" s="2536"/>
      <c r="P21" s="2537"/>
      <c r="Q21" s="153"/>
      <c r="R21" s="153"/>
      <c r="S21" s="153"/>
      <c r="T21" s="153"/>
      <c r="U21" s="153"/>
    </row>
    <row r="22" spans="1:21" ht="37.5" customHeight="1" x14ac:dyDescent="0.25">
      <c r="A22" s="153"/>
      <c r="B22" s="1321" t="s">
        <v>255</v>
      </c>
      <c r="C22" s="2538" t="s">
        <v>266</v>
      </c>
      <c r="D22" s="2538"/>
      <c r="E22" s="2538" t="s">
        <v>59</v>
      </c>
      <c r="F22" s="2539"/>
      <c r="G22" s="1305"/>
      <c r="H22" s="2543"/>
      <c r="I22" s="2536"/>
      <c r="J22" s="2536"/>
      <c r="K22" s="2536"/>
      <c r="L22" s="2536"/>
      <c r="M22" s="2536"/>
      <c r="N22" s="2536"/>
      <c r="O22" s="2536"/>
      <c r="P22" s="2537"/>
      <c r="Q22" s="153"/>
      <c r="R22" s="153"/>
      <c r="S22" s="153"/>
      <c r="T22" s="153"/>
      <c r="U22" s="153"/>
    </row>
    <row r="23" spans="1:21" ht="37.5" customHeight="1" x14ac:dyDescent="0.25">
      <c r="A23" s="153"/>
      <c r="B23" s="1321" t="s">
        <v>256</v>
      </c>
      <c r="C23" s="2538" t="s">
        <v>585</v>
      </c>
      <c r="D23" s="2538"/>
      <c r="E23" s="2538" t="s">
        <v>59</v>
      </c>
      <c r="F23" s="2539"/>
      <c r="G23" s="1305"/>
      <c r="H23" s="2543"/>
      <c r="I23" s="2536"/>
      <c r="J23" s="2536"/>
      <c r="K23" s="2536"/>
      <c r="L23" s="2536"/>
      <c r="M23" s="2536"/>
      <c r="N23" s="2536"/>
      <c r="O23" s="2536"/>
      <c r="P23" s="2537"/>
      <c r="Q23" s="153"/>
      <c r="R23" s="153"/>
      <c r="S23" s="153"/>
      <c r="T23" s="153"/>
      <c r="U23" s="153"/>
    </row>
    <row r="24" spans="1:21" ht="37.5" customHeight="1" x14ac:dyDescent="0.25">
      <c r="A24" s="153"/>
      <c r="B24" s="1321" t="s">
        <v>1686</v>
      </c>
      <c r="C24" s="2538" t="s">
        <v>1618</v>
      </c>
      <c r="D24" s="2538"/>
      <c r="E24" s="2538" t="s">
        <v>54</v>
      </c>
      <c r="F24" s="2539"/>
      <c r="G24" s="1305"/>
      <c r="H24" s="2543"/>
      <c r="I24" s="2536"/>
      <c r="J24" s="2536"/>
      <c r="K24" s="2536"/>
      <c r="L24" s="2536"/>
      <c r="M24" s="2536"/>
      <c r="N24" s="2536"/>
      <c r="O24" s="2536"/>
      <c r="P24" s="2537"/>
      <c r="Q24" s="153"/>
      <c r="R24" s="153"/>
      <c r="S24" s="153"/>
      <c r="T24" s="153"/>
      <c r="U24" s="153"/>
    </row>
    <row r="25" spans="1:21" ht="37.5" customHeight="1" x14ac:dyDescent="0.25">
      <c r="A25" s="153"/>
      <c r="B25" s="1322" t="s">
        <v>2295</v>
      </c>
      <c r="C25" s="2538" t="s">
        <v>1467</v>
      </c>
      <c r="D25" s="2538"/>
      <c r="E25" s="2538"/>
      <c r="F25" s="2539"/>
      <c r="G25" s="1302"/>
      <c r="H25" s="2543"/>
      <c r="I25" s="2536"/>
      <c r="J25" s="2536"/>
      <c r="K25" s="2536"/>
      <c r="L25" s="2536"/>
      <c r="M25" s="2536"/>
      <c r="N25" s="2536"/>
      <c r="O25" s="2536"/>
      <c r="P25" s="2537"/>
      <c r="Q25" s="153"/>
      <c r="R25" s="153"/>
      <c r="S25" s="153"/>
      <c r="T25" s="153"/>
      <c r="U25" s="153"/>
    </row>
    <row r="26" spans="1:21" ht="37.5" customHeight="1" x14ac:dyDescent="0.25">
      <c r="A26" s="153"/>
      <c r="B26" s="1322" t="s">
        <v>2312</v>
      </c>
      <c r="C26" s="2538" t="s">
        <v>1324</v>
      </c>
      <c r="D26" s="2538"/>
      <c r="E26" s="2538"/>
      <c r="F26" s="2539"/>
      <c r="G26" s="1304"/>
      <c r="H26" s="2543"/>
      <c r="I26" s="2536"/>
      <c r="J26" s="2536"/>
      <c r="K26" s="2536"/>
      <c r="L26" s="2536"/>
      <c r="M26" s="2536"/>
      <c r="N26" s="2536"/>
      <c r="O26" s="2536"/>
      <c r="P26" s="2537"/>
      <c r="Q26" s="153"/>
      <c r="R26" s="153"/>
      <c r="S26" s="153"/>
      <c r="T26" s="153"/>
      <c r="U26" s="153"/>
    </row>
    <row r="27" spans="1:21" ht="37.5" customHeight="1" x14ac:dyDescent="0.25">
      <c r="A27" s="153"/>
      <c r="B27" s="1322" t="s">
        <v>2313</v>
      </c>
      <c r="C27" s="2538" t="s">
        <v>1325</v>
      </c>
      <c r="D27" s="2538"/>
      <c r="E27" s="2538"/>
      <c r="F27" s="2539"/>
      <c r="G27" s="1302"/>
      <c r="H27" s="2543"/>
      <c r="I27" s="2536"/>
      <c r="J27" s="2536"/>
      <c r="K27" s="2536"/>
      <c r="L27" s="2536"/>
      <c r="M27" s="2536"/>
      <c r="N27" s="2536"/>
      <c r="O27" s="2536"/>
      <c r="P27" s="2537"/>
      <c r="Q27" s="153"/>
      <c r="R27" s="153"/>
      <c r="S27" s="153"/>
      <c r="T27" s="153"/>
      <c r="U27" s="153"/>
    </row>
    <row r="28" spans="1:21" ht="37.5" customHeight="1" x14ac:dyDescent="0.25">
      <c r="A28" s="153"/>
      <c r="B28" s="1322" t="s">
        <v>2311</v>
      </c>
      <c r="C28" s="2538" t="s">
        <v>36</v>
      </c>
      <c r="D28" s="2538"/>
      <c r="E28" s="2538"/>
      <c r="F28" s="2539"/>
      <c r="G28" s="1302"/>
      <c r="H28" s="2543"/>
      <c r="I28" s="2536"/>
      <c r="J28" s="2536"/>
      <c r="K28" s="2536"/>
      <c r="L28" s="2536"/>
      <c r="M28" s="2536"/>
      <c r="N28" s="2536"/>
      <c r="O28" s="2536"/>
      <c r="P28" s="2537"/>
      <c r="Q28" s="153"/>
      <c r="R28" s="153"/>
      <c r="S28" s="153"/>
      <c r="T28" s="153"/>
      <c r="U28" s="153"/>
    </row>
    <row r="29" spans="1:21" ht="37.5" customHeight="1" x14ac:dyDescent="0.25">
      <c r="A29" s="153"/>
      <c r="B29" s="1322" t="s">
        <v>2412</v>
      </c>
      <c r="C29" s="2538" t="s">
        <v>1326</v>
      </c>
      <c r="D29" s="2538"/>
      <c r="E29" s="2538" t="s">
        <v>0</v>
      </c>
      <c r="F29" s="2539"/>
      <c r="G29" s="1304"/>
      <c r="H29" s="2540"/>
      <c r="I29" s="2541"/>
      <c r="J29" s="2541"/>
      <c r="K29" s="2541"/>
      <c r="L29" s="2541"/>
      <c r="M29" s="2541"/>
      <c r="N29" s="2541"/>
      <c r="O29" s="2541"/>
      <c r="P29" s="2542"/>
      <c r="Q29" s="153"/>
      <c r="R29" s="153"/>
      <c r="S29" s="153"/>
      <c r="T29" s="153"/>
      <c r="U29" s="153"/>
    </row>
    <row r="30" spans="1:21" ht="37.5" customHeight="1" x14ac:dyDescent="0.25">
      <c r="A30" s="153"/>
      <c r="B30" s="1323" t="s">
        <v>258</v>
      </c>
      <c r="C30" s="2538" t="s">
        <v>262</v>
      </c>
      <c r="D30" s="2538"/>
      <c r="E30" s="2538" t="s">
        <v>61</v>
      </c>
      <c r="F30" s="2539"/>
      <c r="G30" s="1302"/>
      <c r="H30" s="2543"/>
      <c r="I30" s="2536"/>
      <c r="J30" s="2536"/>
      <c r="K30" s="2536"/>
      <c r="L30" s="2536"/>
      <c r="M30" s="2536"/>
      <c r="N30" s="2536"/>
      <c r="O30" s="2536"/>
      <c r="P30" s="2537"/>
      <c r="Q30" s="153"/>
      <c r="R30" s="153"/>
      <c r="S30" s="153"/>
      <c r="T30" s="153"/>
      <c r="U30" s="153"/>
    </row>
    <row r="31" spans="1:21" ht="37.5" customHeight="1" x14ac:dyDescent="0.25">
      <c r="A31" s="153"/>
      <c r="B31" s="1324" t="s">
        <v>259</v>
      </c>
      <c r="C31" s="2538" t="s">
        <v>263</v>
      </c>
      <c r="D31" s="2538"/>
      <c r="E31" s="2538" t="s">
        <v>60</v>
      </c>
      <c r="F31" s="2539"/>
      <c r="G31" s="1304"/>
      <c r="H31" s="2540"/>
      <c r="I31" s="2541"/>
      <c r="J31" s="2541"/>
      <c r="K31" s="2541"/>
      <c r="L31" s="2541"/>
      <c r="M31" s="2541"/>
      <c r="N31" s="2541"/>
      <c r="O31" s="2541"/>
      <c r="P31" s="2542"/>
      <c r="Q31" s="153"/>
      <c r="R31" s="153"/>
      <c r="S31" s="153"/>
      <c r="T31" s="153"/>
      <c r="U31" s="153"/>
    </row>
    <row r="32" spans="1:21" ht="37.5" customHeight="1" x14ac:dyDescent="0.25">
      <c r="A32" s="153"/>
      <c r="B32" s="1325" t="s">
        <v>260</v>
      </c>
      <c r="C32" s="2538" t="s">
        <v>264</v>
      </c>
      <c r="D32" s="2538"/>
      <c r="E32" s="2538" t="s">
        <v>120</v>
      </c>
      <c r="F32" s="2539"/>
      <c r="G32" s="1304"/>
      <c r="H32" s="1307"/>
      <c r="I32" s="1308"/>
      <c r="J32" s="1308"/>
      <c r="K32" s="1308"/>
      <c r="L32" s="1308"/>
      <c r="M32" s="1308"/>
      <c r="N32" s="1308"/>
      <c r="O32" s="1308"/>
      <c r="P32" s="1309"/>
      <c r="Q32" s="153"/>
      <c r="R32" s="153"/>
      <c r="S32" s="153"/>
      <c r="T32" s="153"/>
      <c r="U32" s="153"/>
    </row>
    <row r="33" spans="1:21" ht="37.5" customHeight="1" x14ac:dyDescent="0.25">
      <c r="A33" s="153"/>
      <c r="B33" s="1325" t="s">
        <v>261</v>
      </c>
      <c r="C33" s="2538" t="s">
        <v>265</v>
      </c>
      <c r="D33" s="2538"/>
      <c r="E33" s="2538" t="s">
        <v>120</v>
      </c>
      <c r="F33" s="2539"/>
      <c r="G33" s="1304"/>
      <c r="H33" s="1307"/>
      <c r="I33" s="1308"/>
      <c r="J33" s="1308"/>
      <c r="K33" s="1308"/>
      <c r="L33" s="1308"/>
      <c r="M33" s="1308"/>
      <c r="N33" s="1308"/>
      <c r="O33" s="1308"/>
      <c r="P33" s="1309"/>
      <c r="Q33" s="153"/>
      <c r="R33" s="153"/>
      <c r="S33" s="153"/>
      <c r="T33" s="153"/>
      <c r="U33" s="153"/>
    </row>
    <row r="34" spans="1:21" ht="37.5" customHeight="1" x14ac:dyDescent="0.25">
      <c r="A34" s="153"/>
      <c r="B34" s="1325" t="s">
        <v>1741</v>
      </c>
      <c r="C34" s="2538" t="s">
        <v>1618</v>
      </c>
      <c r="D34" s="2538"/>
      <c r="E34" s="2538" t="s">
        <v>54</v>
      </c>
      <c r="F34" s="2539"/>
      <c r="G34" s="1302"/>
      <c r="H34" s="2543"/>
      <c r="I34" s="2536"/>
      <c r="J34" s="2536"/>
      <c r="K34" s="2536"/>
      <c r="L34" s="2536"/>
      <c r="M34" s="2536"/>
      <c r="N34" s="2536"/>
      <c r="O34" s="2536"/>
      <c r="P34" s="2537"/>
      <c r="Q34" s="153"/>
      <c r="R34" s="153"/>
      <c r="S34" s="153"/>
      <c r="T34" s="153"/>
      <c r="U34" s="153"/>
    </row>
    <row r="35" spans="1:21" ht="37.5" customHeight="1" x14ac:dyDescent="0.25">
      <c r="A35" s="683"/>
      <c r="B35" s="1326" t="s">
        <v>2277</v>
      </c>
      <c r="C35" s="2547" t="s">
        <v>2413</v>
      </c>
      <c r="D35" s="2547"/>
      <c r="E35" s="2547"/>
      <c r="F35" s="2548"/>
      <c r="G35" s="1306"/>
      <c r="H35" s="2540"/>
      <c r="I35" s="2541"/>
      <c r="J35" s="2541"/>
      <c r="K35" s="2541"/>
      <c r="L35" s="2541"/>
      <c r="M35" s="2541"/>
      <c r="N35" s="2541"/>
      <c r="O35" s="2541"/>
      <c r="P35" s="2542"/>
      <c r="Q35" s="153"/>
      <c r="R35" s="153"/>
      <c r="S35" s="153"/>
      <c r="T35" s="153"/>
      <c r="U35" s="153"/>
    </row>
    <row r="36" spans="1:21" ht="37.5" customHeight="1" x14ac:dyDescent="0.25">
      <c r="A36" s="153"/>
      <c r="B36" s="1327" t="s">
        <v>2276</v>
      </c>
      <c r="C36" s="2544" t="s">
        <v>2310</v>
      </c>
      <c r="D36" s="2538"/>
      <c r="E36" s="2538"/>
      <c r="F36" s="2539"/>
      <c r="G36" s="1305"/>
      <c r="H36" s="2543"/>
      <c r="I36" s="2536"/>
      <c r="J36" s="2536"/>
      <c r="K36" s="2536"/>
      <c r="L36" s="2536"/>
      <c r="M36" s="2536"/>
      <c r="N36" s="2536"/>
      <c r="O36" s="2536"/>
      <c r="P36" s="2537"/>
      <c r="Q36" s="153"/>
      <c r="R36" s="153"/>
      <c r="S36" s="153"/>
      <c r="T36" s="153"/>
      <c r="U36" s="153"/>
    </row>
    <row r="37" spans="1:21" ht="30" customHeight="1" x14ac:dyDescent="0.25">
      <c r="A37" s="153"/>
      <c r="B37" s="1311"/>
      <c r="C37" s="1295"/>
      <c r="D37" s="1295"/>
      <c r="E37" s="1295"/>
      <c r="F37" s="1295"/>
      <c r="G37" s="1312">
        <f>SUM(G6:G36)</f>
        <v>0</v>
      </c>
      <c r="H37" s="1295"/>
      <c r="I37" s="1295"/>
      <c r="J37" s="1295"/>
      <c r="K37" s="1295"/>
      <c r="L37" s="1295"/>
      <c r="M37" s="1295"/>
      <c r="N37" s="1295"/>
      <c r="O37" s="1295"/>
      <c r="P37" s="1295"/>
      <c r="Q37" s="153"/>
      <c r="R37" s="153"/>
      <c r="S37" s="153"/>
      <c r="T37" s="153"/>
      <c r="U37" s="153"/>
    </row>
    <row r="38" spans="1:21" ht="18.75" customHeight="1" x14ac:dyDescent="0.25">
      <c r="A38" s="153"/>
      <c r="B38" s="684"/>
      <c r="C38" s="153"/>
      <c r="D38" s="153"/>
      <c r="E38" s="153"/>
      <c r="F38" s="153"/>
      <c r="G38" s="153"/>
      <c r="H38" s="153"/>
      <c r="I38" s="153"/>
      <c r="J38" s="153"/>
      <c r="K38" s="153"/>
      <c r="L38" s="153"/>
      <c r="M38" s="153"/>
      <c r="N38" s="153"/>
      <c r="O38" s="153"/>
      <c r="P38" s="153"/>
      <c r="Q38" s="153"/>
      <c r="R38" s="153"/>
      <c r="S38" s="153"/>
      <c r="T38" s="153"/>
      <c r="U38" s="153"/>
    </row>
    <row r="39" spans="1:21" ht="15.75" hidden="1" x14ac:dyDescent="0.25">
      <c r="B39" s="684"/>
      <c r="C39" s="153"/>
      <c r="D39" s="153"/>
      <c r="E39" s="153"/>
      <c r="F39" s="153"/>
      <c r="G39" s="153"/>
      <c r="H39" s="153"/>
      <c r="I39" s="153"/>
      <c r="J39" s="153"/>
      <c r="K39" s="153"/>
      <c r="L39" s="153"/>
      <c r="M39" s="153"/>
      <c r="N39" s="153"/>
      <c r="O39" s="153"/>
      <c r="P39" s="153"/>
      <c r="Q39" s="153"/>
      <c r="R39" s="153"/>
      <c r="S39" s="153"/>
      <c r="T39" s="153"/>
      <c r="U39" s="153"/>
    </row>
    <row r="40" spans="1:21" ht="15.75" hidden="1" x14ac:dyDescent="0.25">
      <c r="B40" s="684"/>
      <c r="C40" s="153"/>
      <c r="D40" s="153"/>
      <c r="E40" s="153"/>
      <c r="F40" s="153"/>
      <c r="G40" s="153"/>
      <c r="H40" s="153"/>
      <c r="I40" s="153"/>
      <c r="J40" s="153"/>
      <c r="K40" s="153"/>
      <c r="L40" s="153"/>
      <c r="M40" s="153"/>
      <c r="N40" s="153"/>
      <c r="O40" s="153"/>
      <c r="P40" s="153"/>
      <c r="Q40" s="153"/>
      <c r="R40" s="153"/>
      <c r="S40" s="153"/>
      <c r="T40" s="153"/>
      <c r="U40" s="153"/>
    </row>
    <row r="41" spans="1:21" ht="15.75" hidden="1" x14ac:dyDescent="0.25">
      <c r="B41" s="684"/>
      <c r="C41" s="153"/>
      <c r="D41" s="153"/>
      <c r="E41" s="153"/>
      <c r="F41" s="153"/>
      <c r="G41" s="153"/>
      <c r="H41" s="153"/>
      <c r="I41" s="153"/>
      <c r="J41" s="153"/>
      <c r="K41" s="153"/>
      <c r="L41" s="153"/>
      <c r="M41" s="153"/>
      <c r="N41" s="153"/>
      <c r="O41" s="153"/>
      <c r="P41" s="153"/>
      <c r="Q41" s="153"/>
      <c r="R41" s="153"/>
      <c r="S41" s="153"/>
      <c r="T41" s="153"/>
      <c r="U41" s="153"/>
    </row>
    <row r="42" spans="1:21" ht="15.75" hidden="1" x14ac:dyDescent="0.25">
      <c r="B42" s="684"/>
      <c r="C42" s="153"/>
      <c r="D42" s="153"/>
      <c r="E42" s="153"/>
      <c r="F42" s="153"/>
      <c r="G42" s="153"/>
      <c r="H42" s="153"/>
      <c r="I42" s="153"/>
      <c r="J42" s="153"/>
      <c r="K42" s="153"/>
      <c r="L42" s="153"/>
      <c r="M42" s="153"/>
      <c r="N42" s="153"/>
      <c r="O42" s="153"/>
      <c r="P42" s="153"/>
      <c r="Q42" s="153"/>
      <c r="R42" s="153"/>
      <c r="S42" s="153"/>
      <c r="T42" s="153"/>
      <c r="U42" s="153"/>
    </row>
    <row r="43" spans="1:21" ht="15.75" hidden="1" x14ac:dyDescent="0.25">
      <c r="B43" s="684"/>
      <c r="C43" s="153"/>
      <c r="D43" s="153"/>
      <c r="E43" s="153"/>
      <c r="F43" s="153"/>
      <c r="G43" s="153"/>
      <c r="H43" s="153"/>
      <c r="I43" s="153"/>
      <c r="J43" s="153"/>
      <c r="K43" s="153"/>
      <c r="L43" s="153"/>
      <c r="M43" s="153"/>
      <c r="N43" s="153"/>
      <c r="O43" s="153"/>
      <c r="P43" s="153"/>
      <c r="Q43" s="153"/>
      <c r="R43" s="153"/>
      <c r="S43" s="153"/>
      <c r="T43" s="153"/>
      <c r="U43" s="153"/>
    </row>
    <row r="44" spans="1:21" ht="15.75" hidden="1" x14ac:dyDescent="0.25">
      <c r="B44" s="684"/>
      <c r="C44" s="153"/>
      <c r="D44" s="153"/>
      <c r="E44" s="153"/>
      <c r="F44" s="153"/>
      <c r="G44" s="153"/>
      <c r="H44" s="153"/>
      <c r="I44" s="153"/>
      <c r="J44" s="153"/>
      <c r="K44" s="153"/>
      <c r="L44" s="153"/>
      <c r="M44" s="153"/>
      <c r="N44" s="153"/>
      <c r="O44" s="153"/>
      <c r="P44" s="153"/>
      <c r="Q44" s="153"/>
      <c r="R44" s="153"/>
      <c r="S44" s="153"/>
      <c r="T44" s="153"/>
      <c r="U44" s="153"/>
    </row>
    <row r="45" spans="1:21" ht="15.75" hidden="1" x14ac:dyDescent="0.25">
      <c r="B45" s="684"/>
      <c r="C45" s="153"/>
      <c r="D45" s="153"/>
      <c r="E45" s="153"/>
      <c r="F45" s="153"/>
      <c r="G45" s="153"/>
      <c r="H45" s="153"/>
      <c r="I45" s="153"/>
      <c r="J45" s="153"/>
      <c r="K45" s="153"/>
      <c r="L45" s="153"/>
      <c r="M45" s="153"/>
      <c r="N45" s="153"/>
      <c r="O45" s="153"/>
      <c r="P45" s="153"/>
      <c r="Q45" s="153"/>
      <c r="R45" s="153"/>
      <c r="S45" s="153"/>
      <c r="T45" s="153"/>
      <c r="U45" s="153"/>
    </row>
    <row r="46" spans="1:21" ht="15.75" hidden="1" x14ac:dyDescent="0.25">
      <c r="B46" s="684"/>
      <c r="C46" s="153"/>
      <c r="D46" s="153"/>
      <c r="E46" s="153"/>
      <c r="F46" s="153"/>
      <c r="G46" s="153"/>
      <c r="H46" s="153"/>
      <c r="I46" s="153"/>
      <c r="J46" s="153"/>
      <c r="K46" s="153"/>
      <c r="L46" s="153"/>
      <c r="M46" s="153"/>
      <c r="N46" s="153"/>
      <c r="O46" s="153"/>
      <c r="P46" s="153"/>
      <c r="Q46" s="153"/>
      <c r="R46" s="153"/>
      <c r="S46" s="153"/>
      <c r="T46" s="153"/>
      <c r="U46" s="153"/>
    </row>
    <row r="47" spans="1:21" ht="15.75" hidden="1" x14ac:dyDescent="0.25">
      <c r="B47" s="684"/>
      <c r="C47" s="153"/>
      <c r="D47" s="153"/>
      <c r="E47" s="153"/>
      <c r="F47" s="153"/>
      <c r="G47" s="153"/>
      <c r="H47" s="153"/>
      <c r="I47" s="153"/>
      <c r="J47" s="153"/>
      <c r="K47" s="153"/>
      <c r="L47" s="153"/>
      <c r="M47" s="153"/>
      <c r="N47" s="153"/>
      <c r="O47" s="153"/>
      <c r="P47" s="153"/>
      <c r="Q47" s="153"/>
      <c r="R47" s="153"/>
      <c r="S47" s="153"/>
      <c r="T47" s="153"/>
      <c r="U47" s="153"/>
    </row>
    <row r="48" spans="1:21" ht="15.75" hidden="1" x14ac:dyDescent="0.25">
      <c r="B48" s="684"/>
      <c r="C48" s="153"/>
      <c r="D48" s="153"/>
      <c r="E48" s="153"/>
      <c r="F48" s="153"/>
      <c r="G48" s="153"/>
      <c r="H48" s="153"/>
      <c r="I48" s="153"/>
      <c r="J48" s="153"/>
      <c r="K48" s="153"/>
      <c r="L48" s="153"/>
      <c r="M48" s="153"/>
      <c r="N48" s="153"/>
      <c r="O48" s="153"/>
      <c r="P48" s="153"/>
      <c r="Q48" s="153"/>
      <c r="R48" s="153"/>
      <c r="S48" s="153"/>
      <c r="T48" s="153"/>
      <c r="U48" s="153"/>
    </row>
    <row r="49" spans="2:21" ht="15.75" hidden="1" x14ac:dyDescent="0.25">
      <c r="B49" s="684"/>
      <c r="C49" s="153"/>
      <c r="D49" s="153"/>
      <c r="E49" s="153"/>
      <c r="F49" s="153"/>
      <c r="G49" s="153"/>
      <c r="H49" s="153"/>
      <c r="I49" s="153"/>
      <c r="J49" s="153"/>
      <c r="K49" s="153"/>
      <c r="L49" s="153"/>
      <c r="M49" s="153"/>
      <c r="N49" s="153"/>
      <c r="O49" s="153"/>
      <c r="P49" s="153"/>
      <c r="Q49" s="153"/>
      <c r="R49" s="153"/>
      <c r="S49" s="153"/>
      <c r="T49" s="153"/>
      <c r="U49" s="153"/>
    </row>
    <row r="50" spans="2:21" ht="15.75" hidden="1" x14ac:dyDescent="0.25">
      <c r="B50" s="684"/>
      <c r="C50" s="153"/>
      <c r="D50" s="153"/>
      <c r="E50" s="153"/>
      <c r="F50" s="153"/>
      <c r="G50" s="153"/>
      <c r="H50" s="153"/>
      <c r="I50" s="153"/>
      <c r="J50" s="153"/>
      <c r="K50" s="153"/>
      <c r="L50" s="153"/>
      <c r="M50" s="153"/>
      <c r="N50" s="153"/>
      <c r="O50" s="153"/>
      <c r="P50" s="153"/>
      <c r="Q50" s="153"/>
      <c r="R50" s="153"/>
      <c r="S50" s="153"/>
      <c r="T50" s="153"/>
      <c r="U50" s="153"/>
    </row>
    <row r="51" spans="2:21" ht="15.75" hidden="1" x14ac:dyDescent="0.25">
      <c r="B51" s="684"/>
      <c r="C51" s="153"/>
      <c r="D51" s="153"/>
      <c r="E51" s="153"/>
      <c r="F51" s="153"/>
      <c r="G51" s="153"/>
      <c r="H51" s="153"/>
      <c r="I51" s="153"/>
      <c r="J51" s="153"/>
      <c r="K51" s="153"/>
      <c r="L51" s="153"/>
      <c r="M51" s="153"/>
      <c r="N51" s="153"/>
      <c r="O51" s="153"/>
      <c r="P51" s="153"/>
      <c r="Q51" s="153"/>
      <c r="R51" s="153"/>
      <c r="S51" s="153"/>
      <c r="T51" s="153"/>
      <c r="U51" s="153"/>
    </row>
    <row r="52" spans="2:21" ht="15.75" hidden="1" x14ac:dyDescent="0.25">
      <c r="B52" s="684"/>
      <c r="C52" s="153"/>
      <c r="D52" s="153"/>
      <c r="E52" s="153"/>
      <c r="F52" s="153"/>
      <c r="G52" s="153"/>
      <c r="H52" s="153"/>
      <c r="I52" s="153"/>
      <c r="J52" s="153"/>
      <c r="K52" s="153"/>
      <c r="L52" s="153"/>
      <c r="M52" s="153"/>
      <c r="N52" s="153"/>
      <c r="O52" s="153"/>
      <c r="P52" s="153"/>
      <c r="Q52" s="153"/>
      <c r="R52" s="153"/>
      <c r="S52" s="153"/>
      <c r="T52" s="153"/>
      <c r="U52" s="153"/>
    </row>
    <row r="53" spans="2:21" ht="15.75" hidden="1" x14ac:dyDescent="0.25">
      <c r="B53" s="684"/>
      <c r="C53" s="153"/>
      <c r="D53" s="153"/>
      <c r="E53" s="153"/>
      <c r="F53" s="153"/>
      <c r="G53" s="153"/>
      <c r="H53" s="153"/>
      <c r="I53" s="153"/>
      <c r="J53" s="153"/>
      <c r="K53" s="153"/>
      <c r="L53" s="153"/>
      <c r="M53" s="153"/>
      <c r="N53" s="153"/>
      <c r="O53" s="153"/>
      <c r="P53" s="153"/>
      <c r="Q53" s="153"/>
      <c r="R53" s="153"/>
      <c r="S53" s="153"/>
      <c r="T53" s="153"/>
      <c r="U53" s="153"/>
    </row>
    <row r="54" spans="2:21" ht="15.75" hidden="1" x14ac:dyDescent="0.25">
      <c r="B54" s="684"/>
      <c r="C54" s="153"/>
      <c r="D54" s="153"/>
      <c r="E54" s="153"/>
      <c r="F54" s="153"/>
      <c r="G54" s="153"/>
      <c r="H54" s="153"/>
      <c r="I54" s="153"/>
      <c r="J54" s="153"/>
      <c r="K54" s="153"/>
      <c r="L54" s="153"/>
      <c r="M54" s="153"/>
      <c r="N54" s="153"/>
      <c r="O54" s="153"/>
      <c r="P54" s="153"/>
      <c r="Q54" s="153"/>
      <c r="R54" s="153"/>
      <c r="S54" s="153"/>
      <c r="T54" s="153"/>
      <c r="U54" s="153"/>
    </row>
    <row r="55" spans="2:21" ht="15.75" hidden="1" x14ac:dyDescent="0.25">
      <c r="B55" s="684"/>
      <c r="C55" s="153"/>
      <c r="D55" s="153"/>
      <c r="E55" s="153"/>
      <c r="F55" s="153"/>
      <c r="G55" s="153"/>
      <c r="H55" s="153"/>
      <c r="I55" s="153"/>
      <c r="J55" s="153"/>
      <c r="K55" s="153"/>
      <c r="L55" s="153"/>
      <c r="M55" s="153"/>
      <c r="N55" s="153"/>
      <c r="O55" s="153"/>
      <c r="P55" s="153"/>
      <c r="Q55" s="153"/>
      <c r="R55" s="153"/>
      <c r="S55" s="153"/>
      <c r="T55" s="153"/>
      <c r="U55" s="153"/>
    </row>
    <row r="56" spans="2:21" ht="15.75" hidden="1" x14ac:dyDescent="0.25">
      <c r="B56" s="684"/>
      <c r="C56" s="153"/>
      <c r="D56" s="153"/>
      <c r="E56" s="153"/>
      <c r="F56" s="153"/>
      <c r="G56" s="153"/>
      <c r="H56" s="153"/>
      <c r="I56" s="153"/>
      <c r="J56" s="153"/>
      <c r="K56" s="153"/>
      <c r="L56" s="153"/>
      <c r="M56" s="153"/>
      <c r="N56" s="153"/>
      <c r="O56" s="153"/>
      <c r="P56" s="153"/>
      <c r="Q56" s="153"/>
      <c r="R56" s="153"/>
      <c r="S56" s="153"/>
      <c r="T56" s="153"/>
      <c r="U56" s="153"/>
    </row>
    <row r="57" spans="2:21" ht="15.75" hidden="1" x14ac:dyDescent="0.25">
      <c r="B57" s="684"/>
      <c r="C57" s="153"/>
      <c r="D57" s="153"/>
      <c r="E57" s="153"/>
      <c r="F57" s="153"/>
      <c r="G57" s="153"/>
      <c r="H57" s="153"/>
      <c r="I57" s="153"/>
      <c r="J57" s="153"/>
      <c r="K57" s="153"/>
      <c r="L57" s="153"/>
      <c r="M57" s="153"/>
      <c r="N57" s="153"/>
      <c r="O57" s="153"/>
      <c r="P57" s="153"/>
      <c r="Q57" s="153"/>
      <c r="R57" s="153"/>
      <c r="S57" s="153"/>
      <c r="T57" s="153"/>
      <c r="U57" s="153"/>
    </row>
    <row r="58" spans="2:21" ht="15.75" hidden="1" x14ac:dyDescent="0.25">
      <c r="B58" s="684"/>
      <c r="C58" s="153"/>
      <c r="D58" s="153"/>
      <c r="E58" s="153"/>
      <c r="F58" s="153"/>
      <c r="G58" s="153"/>
      <c r="H58" s="153"/>
      <c r="I58" s="153"/>
      <c r="J58" s="153"/>
      <c r="K58" s="153"/>
      <c r="L58" s="153"/>
      <c r="M58" s="153"/>
      <c r="N58" s="153"/>
      <c r="O58" s="153"/>
      <c r="P58" s="153"/>
      <c r="Q58" s="153"/>
      <c r="R58" s="153"/>
      <c r="S58" s="153"/>
      <c r="T58" s="153"/>
      <c r="U58" s="153"/>
    </row>
    <row r="59" spans="2:21" ht="15.75" hidden="1" x14ac:dyDescent="0.25">
      <c r="B59" s="684"/>
      <c r="C59" s="153"/>
      <c r="D59" s="153"/>
      <c r="E59" s="153"/>
      <c r="F59" s="153"/>
      <c r="G59" s="153"/>
      <c r="H59" s="153"/>
      <c r="I59" s="153"/>
      <c r="J59" s="153"/>
      <c r="K59" s="153"/>
      <c r="L59" s="153"/>
      <c r="M59" s="153"/>
      <c r="N59" s="153"/>
      <c r="O59" s="153"/>
      <c r="P59" s="153"/>
      <c r="Q59" s="153"/>
      <c r="R59" s="153"/>
      <c r="S59" s="153"/>
      <c r="T59" s="153"/>
      <c r="U59" s="153"/>
    </row>
    <row r="60" spans="2:21" ht="15.75" hidden="1" x14ac:dyDescent="0.25">
      <c r="B60" s="684"/>
      <c r="C60" s="153"/>
      <c r="D60" s="153"/>
      <c r="E60" s="153"/>
      <c r="F60" s="153"/>
      <c r="G60" s="153"/>
      <c r="H60" s="153"/>
      <c r="I60" s="153"/>
      <c r="J60" s="153"/>
      <c r="K60" s="153"/>
      <c r="L60" s="153"/>
      <c r="M60" s="153"/>
      <c r="N60" s="153"/>
      <c r="O60" s="153"/>
      <c r="P60" s="153"/>
      <c r="Q60" s="153"/>
      <c r="R60" s="153"/>
      <c r="S60" s="153"/>
      <c r="T60" s="153"/>
      <c r="U60" s="153"/>
    </row>
    <row r="61" spans="2:21" ht="15.75" hidden="1" x14ac:dyDescent="0.25">
      <c r="B61" s="684"/>
      <c r="C61" s="153"/>
      <c r="D61" s="153"/>
      <c r="E61" s="153"/>
      <c r="F61" s="153"/>
      <c r="G61" s="153"/>
      <c r="H61" s="153"/>
      <c r="I61" s="153"/>
      <c r="J61" s="153"/>
      <c r="K61" s="153"/>
      <c r="L61" s="153"/>
      <c r="M61" s="153"/>
      <c r="N61" s="153"/>
      <c r="O61" s="153"/>
      <c r="P61" s="153"/>
      <c r="Q61" s="153"/>
      <c r="R61" s="153"/>
      <c r="S61" s="153"/>
      <c r="T61" s="153"/>
      <c r="U61" s="153"/>
    </row>
    <row r="62" spans="2:21" ht="15.75" hidden="1" x14ac:dyDescent="0.25">
      <c r="B62" s="684"/>
      <c r="C62" s="153"/>
      <c r="D62" s="153"/>
      <c r="E62" s="153"/>
      <c r="F62" s="153"/>
      <c r="G62" s="153"/>
      <c r="H62" s="153"/>
      <c r="I62" s="153"/>
      <c r="J62" s="153"/>
      <c r="K62" s="153"/>
      <c r="L62" s="153"/>
      <c r="M62" s="153"/>
      <c r="N62" s="153"/>
      <c r="O62" s="153"/>
      <c r="P62" s="153"/>
      <c r="Q62" s="153"/>
      <c r="R62" s="153"/>
      <c r="S62" s="153"/>
      <c r="T62" s="153"/>
      <c r="U62" s="153"/>
    </row>
    <row r="63" spans="2:21" ht="15.75" hidden="1" x14ac:dyDescent="0.25">
      <c r="B63" s="684"/>
      <c r="C63" s="153"/>
      <c r="D63" s="153"/>
      <c r="E63" s="153"/>
      <c r="F63" s="153"/>
      <c r="G63" s="153"/>
      <c r="H63" s="153"/>
      <c r="I63" s="153"/>
      <c r="J63" s="153"/>
      <c r="K63" s="153"/>
      <c r="L63" s="153"/>
      <c r="M63" s="153"/>
      <c r="N63" s="153"/>
      <c r="O63" s="153"/>
      <c r="P63" s="153"/>
      <c r="Q63" s="153"/>
      <c r="R63" s="153"/>
      <c r="S63" s="153"/>
      <c r="T63" s="153"/>
      <c r="U63" s="153"/>
    </row>
    <row r="64" spans="2:21" ht="15.75" hidden="1" x14ac:dyDescent="0.25">
      <c r="B64" s="684"/>
      <c r="C64" s="153"/>
      <c r="D64" s="153"/>
      <c r="E64" s="153"/>
      <c r="F64" s="153"/>
      <c r="G64" s="153"/>
      <c r="H64" s="153"/>
      <c r="I64" s="153"/>
      <c r="J64" s="153"/>
      <c r="K64" s="153"/>
      <c r="L64" s="153"/>
      <c r="M64" s="153"/>
      <c r="N64" s="153"/>
      <c r="O64" s="153"/>
      <c r="P64" s="153"/>
      <c r="Q64" s="153"/>
      <c r="R64" s="153"/>
      <c r="S64" s="153"/>
      <c r="T64" s="153"/>
      <c r="U64" s="153"/>
    </row>
    <row r="65" spans="2:21" ht="15.75" hidden="1" x14ac:dyDescent="0.25">
      <c r="B65" s="684"/>
      <c r="C65" s="153"/>
      <c r="D65" s="153"/>
      <c r="E65" s="153"/>
      <c r="F65" s="153"/>
      <c r="G65" s="153"/>
      <c r="H65" s="153"/>
      <c r="I65" s="153"/>
      <c r="J65" s="153"/>
      <c r="K65" s="153"/>
      <c r="L65" s="153"/>
      <c r="M65" s="153"/>
      <c r="N65" s="153"/>
      <c r="O65" s="153"/>
      <c r="P65" s="153"/>
      <c r="Q65" s="153"/>
      <c r="R65" s="153"/>
      <c r="S65" s="153"/>
      <c r="T65" s="153"/>
      <c r="U65" s="153"/>
    </row>
    <row r="66" spans="2:21" ht="15.75" hidden="1" x14ac:dyDescent="0.25">
      <c r="B66" s="684"/>
      <c r="C66" s="153"/>
      <c r="D66" s="153"/>
      <c r="E66" s="153"/>
      <c r="F66" s="153"/>
      <c r="G66" s="153"/>
      <c r="H66" s="153"/>
      <c r="I66" s="153"/>
      <c r="J66" s="153"/>
      <c r="K66" s="153"/>
      <c r="L66" s="153"/>
      <c r="M66" s="153"/>
      <c r="N66" s="153"/>
      <c r="O66" s="153"/>
      <c r="P66" s="153"/>
      <c r="Q66" s="153"/>
      <c r="R66" s="153"/>
      <c r="S66" s="153"/>
      <c r="T66" s="153"/>
      <c r="U66" s="153"/>
    </row>
    <row r="67" spans="2:21" ht="15.75" hidden="1" x14ac:dyDescent="0.25">
      <c r="B67" s="684"/>
      <c r="C67" s="153"/>
      <c r="D67" s="153"/>
      <c r="E67" s="153"/>
      <c r="F67" s="153"/>
      <c r="G67" s="153"/>
      <c r="H67" s="153"/>
      <c r="I67" s="153"/>
      <c r="J67" s="153"/>
      <c r="K67" s="153"/>
      <c r="L67" s="153"/>
      <c r="M67" s="153"/>
      <c r="N67" s="153"/>
      <c r="O67" s="153"/>
      <c r="P67" s="153"/>
      <c r="Q67" s="153"/>
      <c r="R67" s="153"/>
      <c r="S67" s="153"/>
      <c r="T67" s="153"/>
      <c r="U67" s="153"/>
    </row>
    <row r="68" spans="2:21" ht="15.75" hidden="1" x14ac:dyDescent="0.25">
      <c r="B68" s="684"/>
      <c r="C68" s="153"/>
      <c r="D68" s="153"/>
      <c r="E68" s="153"/>
      <c r="F68" s="153"/>
      <c r="G68" s="153"/>
      <c r="H68" s="153"/>
      <c r="I68" s="153"/>
      <c r="J68" s="153"/>
      <c r="K68" s="153"/>
      <c r="L68" s="153"/>
      <c r="M68" s="153"/>
      <c r="N68" s="153"/>
      <c r="O68" s="153"/>
      <c r="P68" s="153"/>
      <c r="Q68" s="153"/>
      <c r="R68" s="153"/>
      <c r="S68" s="153"/>
      <c r="T68" s="153"/>
      <c r="U68" s="153"/>
    </row>
    <row r="69" spans="2:21" ht="15.75" hidden="1" x14ac:dyDescent="0.25">
      <c r="B69" s="684"/>
      <c r="C69" s="153"/>
      <c r="D69" s="153"/>
      <c r="E69" s="153"/>
      <c r="F69" s="153"/>
      <c r="G69" s="153"/>
      <c r="H69" s="153"/>
      <c r="I69" s="153"/>
      <c r="J69" s="153"/>
      <c r="K69" s="153"/>
      <c r="L69" s="153"/>
      <c r="M69" s="153"/>
      <c r="N69" s="153"/>
      <c r="O69" s="153"/>
      <c r="P69" s="153"/>
      <c r="Q69" s="153"/>
      <c r="R69" s="153"/>
      <c r="S69" s="153"/>
      <c r="T69" s="153"/>
      <c r="U69" s="153"/>
    </row>
    <row r="70" spans="2:21" ht="15.75" hidden="1" x14ac:dyDescent="0.25">
      <c r="B70" s="684"/>
      <c r="C70" s="153"/>
      <c r="D70" s="153"/>
      <c r="E70" s="153"/>
      <c r="F70" s="153"/>
      <c r="G70" s="153"/>
      <c r="H70" s="153"/>
      <c r="I70" s="153"/>
      <c r="J70" s="153"/>
      <c r="K70" s="153"/>
      <c r="L70" s="153"/>
      <c r="M70" s="153"/>
      <c r="N70" s="153"/>
      <c r="O70" s="153"/>
      <c r="P70" s="153"/>
      <c r="Q70" s="153"/>
      <c r="R70" s="153"/>
      <c r="S70" s="153"/>
      <c r="T70" s="153"/>
      <c r="U70" s="153"/>
    </row>
    <row r="71" spans="2:21" ht="15.75" hidden="1" x14ac:dyDescent="0.25">
      <c r="B71" s="684"/>
      <c r="C71" s="153"/>
      <c r="D71" s="153"/>
      <c r="E71" s="153"/>
      <c r="F71" s="153"/>
      <c r="G71" s="153"/>
      <c r="H71" s="153"/>
      <c r="I71" s="153"/>
      <c r="J71" s="153"/>
      <c r="K71" s="153"/>
      <c r="L71" s="153"/>
      <c r="M71" s="153"/>
      <c r="N71" s="153"/>
      <c r="O71" s="153"/>
      <c r="P71" s="153"/>
      <c r="Q71" s="153"/>
      <c r="R71" s="153"/>
      <c r="S71" s="153"/>
      <c r="T71" s="153"/>
      <c r="U71" s="153"/>
    </row>
    <row r="72" spans="2:21" ht="15.75" hidden="1" x14ac:dyDescent="0.25">
      <c r="B72" s="684"/>
      <c r="C72" s="153"/>
      <c r="D72" s="153"/>
      <c r="E72" s="153"/>
      <c r="F72" s="153"/>
      <c r="G72" s="153"/>
      <c r="H72" s="153"/>
      <c r="I72" s="153"/>
      <c r="J72" s="153"/>
      <c r="K72" s="153"/>
      <c r="L72" s="153"/>
      <c r="M72" s="153"/>
      <c r="N72" s="153"/>
      <c r="O72" s="153"/>
      <c r="P72" s="153"/>
      <c r="Q72" s="153"/>
      <c r="R72" s="153"/>
      <c r="S72" s="153"/>
      <c r="T72" s="153"/>
      <c r="U72" s="153"/>
    </row>
    <row r="73" spans="2:21" ht="15.75" hidden="1" x14ac:dyDescent="0.25">
      <c r="B73" s="684"/>
      <c r="C73" s="153"/>
      <c r="D73" s="153"/>
      <c r="E73" s="153"/>
      <c r="F73" s="153"/>
      <c r="G73" s="153"/>
      <c r="H73" s="153"/>
      <c r="I73" s="153"/>
      <c r="J73" s="153"/>
      <c r="K73" s="153"/>
      <c r="L73" s="153"/>
      <c r="M73" s="153"/>
      <c r="N73" s="153"/>
      <c r="O73" s="153"/>
      <c r="P73" s="153"/>
      <c r="Q73" s="153"/>
      <c r="R73" s="153"/>
      <c r="S73" s="153"/>
      <c r="T73" s="153"/>
      <c r="U73" s="153"/>
    </row>
    <row r="74" spans="2:21" ht="15.75" hidden="1" x14ac:dyDescent="0.25">
      <c r="B74" s="684"/>
      <c r="C74" s="153"/>
      <c r="D74" s="153"/>
      <c r="E74" s="153"/>
      <c r="F74" s="153"/>
      <c r="G74" s="153"/>
      <c r="H74" s="153"/>
      <c r="I74" s="153"/>
      <c r="J74" s="153"/>
      <c r="K74" s="153"/>
      <c r="L74" s="153"/>
      <c r="M74" s="153"/>
      <c r="N74" s="153"/>
      <c r="O74" s="153"/>
      <c r="P74" s="153"/>
      <c r="Q74" s="153"/>
      <c r="R74" s="153"/>
      <c r="S74" s="153"/>
      <c r="T74" s="153"/>
      <c r="U74" s="153"/>
    </row>
    <row r="75" spans="2:21" ht="15.75" hidden="1" x14ac:dyDescent="0.25">
      <c r="B75" s="684"/>
      <c r="C75" s="153"/>
      <c r="D75" s="153"/>
      <c r="E75" s="153"/>
      <c r="F75" s="153"/>
      <c r="G75" s="153"/>
      <c r="H75" s="153"/>
      <c r="I75" s="153"/>
      <c r="J75" s="153"/>
      <c r="K75" s="153"/>
      <c r="L75" s="153"/>
      <c r="M75" s="153"/>
      <c r="N75" s="153"/>
      <c r="O75" s="153"/>
      <c r="P75" s="153"/>
      <c r="Q75" s="153"/>
      <c r="R75" s="153"/>
      <c r="S75" s="153"/>
      <c r="T75" s="153"/>
      <c r="U75" s="153"/>
    </row>
    <row r="76" spans="2:21" ht="15.75" hidden="1" x14ac:dyDescent="0.25">
      <c r="B76" s="684"/>
      <c r="C76" s="153"/>
      <c r="D76" s="153"/>
      <c r="E76" s="153"/>
      <c r="F76" s="153"/>
      <c r="G76" s="153"/>
      <c r="H76" s="153"/>
      <c r="I76" s="153"/>
      <c r="J76" s="153"/>
      <c r="K76" s="153"/>
      <c r="L76" s="153"/>
      <c r="M76" s="153"/>
      <c r="N76" s="153"/>
      <c r="O76" s="153"/>
      <c r="P76" s="153"/>
      <c r="Q76" s="153"/>
      <c r="R76" s="153"/>
      <c r="S76" s="153"/>
      <c r="T76" s="153"/>
      <c r="U76" s="153"/>
    </row>
    <row r="77" spans="2:21" ht="15.75" hidden="1" x14ac:dyDescent="0.25">
      <c r="B77" s="684"/>
      <c r="C77" s="153"/>
      <c r="D77" s="153"/>
      <c r="E77" s="153"/>
      <c r="F77" s="153"/>
      <c r="G77" s="153"/>
      <c r="H77" s="153"/>
      <c r="I77" s="153"/>
      <c r="J77" s="153"/>
      <c r="K77" s="153"/>
      <c r="L77" s="153"/>
      <c r="M77" s="153"/>
      <c r="N77" s="153"/>
      <c r="O77" s="153"/>
      <c r="P77" s="153"/>
      <c r="Q77" s="153"/>
      <c r="R77" s="153"/>
      <c r="S77" s="153"/>
      <c r="T77" s="153"/>
      <c r="U77" s="153"/>
    </row>
    <row r="78" spans="2:21" ht="15.75" hidden="1" x14ac:dyDescent="0.25">
      <c r="B78" s="684"/>
      <c r="C78" s="153"/>
      <c r="D78" s="153"/>
      <c r="E78" s="153"/>
      <c r="F78" s="153"/>
      <c r="G78" s="153"/>
      <c r="H78" s="153"/>
      <c r="I78" s="153"/>
      <c r="J78" s="153"/>
      <c r="K78" s="153"/>
      <c r="L78" s="153"/>
      <c r="M78" s="153"/>
      <c r="N78" s="153"/>
      <c r="O78" s="153"/>
      <c r="P78" s="153"/>
      <c r="Q78" s="153"/>
      <c r="R78" s="153"/>
      <c r="S78" s="153"/>
      <c r="T78" s="153"/>
      <c r="U78" s="153"/>
    </row>
    <row r="79" spans="2:21" ht="15.75" hidden="1" x14ac:dyDescent="0.25">
      <c r="B79" s="684"/>
      <c r="C79" s="153"/>
      <c r="D79" s="153"/>
      <c r="E79" s="153"/>
      <c r="F79" s="153"/>
      <c r="G79" s="153"/>
      <c r="H79" s="153"/>
      <c r="I79" s="153"/>
      <c r="J79" s="153"/>
      <c r="K79" s="153"/>
      <c r="L79" s="153"/>
      <c r="M79" s="153"/>
      <c r="N79" s="153"/>
      <c r="O79" s="153"/>
      <c r="P79" s="153"/>
      <c r="Q79" s="153"/>
      <c r="R79" s="153"/>
      <c r="S79" s="153"/>
      <c r="T79" s="153"/>
      <c r="U79" s="153"/>
    </row>
    <row r="80" spans="2:21" ht="15.75" hidden="1" x14ac:dyDescent="0.25">
      <c r="B80" s="684"/>
      <c r="C80" s="153"/>
      <c r="D80" s="153"/>
      <c r="E80" s="153"/>
      <c r="F80" s="153"/>
      <c r="G80" s="153"/>
      <c r="H80" s="153"/>
      <c r="I80" s="153"/>
      <c r="J80" s="153"/>
      <c r="K80" s="153"/>
      <c r="L80" s="153"/>
      <c r="M80" s="153"/>
      <c r="N80" s="153"/>
      <c r="O80" s="153"/>
      <c r="P80" s="153"/>
      <c r="Q80" s="153"/>
      <c r="R80" s="153"/>
      <c r="S80" s="153"/>
      <c r="T80" s="153"/>
      <c r="U80" s="153"/>
    </row>
    <row r="81" spans="2:21" ht="15.75" hidden="1" x14ac:dyDescent="0.25">
      <c r="B81" s="684"/>
      <c r="C81" s="153"/>
      <c r="D81" s="153"/>
      <c r="E81" s="153"/>
      <c r="F81" s="153"/>
      <c r="G81" s="153"/>
      <c r="H81" s="153"/>
      <c r="I81" s="153"/>
      <c r="J81" s="153"/>
      <c r="K81" s="153"/>
      <c r="L81" s="153"/>
      <c r="M81" s="153"/>
      <c r="N81" s="153"/>
      <c r="O81" s="153"/>
      <c r="P81" s="153"/>
      <c r="Q81" s="153"/>
      <c r="R81" s="153"/>
      <c r="S81" s="153"/>
      <c r="T81" s="153"/>
      <c r="U81" s="153"/>
    </row>
    <row r="82" spans="2:21" ht="15.75" hidden="1" x14ac:dyDescent="0.25">
      <c r="B82" s="684"/>
      <c r="C82" s="153"/>
      <c r="D82" s="153"/>
      <c r="E82" s="153"/>
      <c r="F82" s="153"/>
      <c r="G82" s="153"/>
      <c r="H82" s="153"/>
      <c r="I82" s="153"/>
      <c r="J82" s="153"/>
      <c r="K82" s="153"/>
      <c r="L82" s="153"/>
      <c r="M82" s="153"/>
      <c r="N82" s="153"/>
      <c r="O82" s="153"/>
      <c r="P82" s="153"/>
      <c r="Q82" s="153"/>
      <c r="R82" s="153"/>
      <c r="S82" s="153"/>
      <c r="T82" s="153"/>
      <c r="U82" s="153"/>
    </row>
    <row r="83" spans="2:21" ht="15.75" hidden="1" x14ac:dyDescent="0.25">
      <c r="B83" s="684"/>
      <c r="C83" s="153"/>
      <c r="D83" s="153"/>
      <c r="E83" s="153"/>
      <c r="F83" s="153"/>
      <c r="G83" s="153"/>
      <c r="H83" s="153"/>
      <c r="I83" s="153"/>
      <c r="J83" s="153"/>
      <c r="K83" s="153"/>
      <c r="L83" s="153"/>
      <c r="M83" s="153"/>
      <c r="N83" s="153"/>
      <c r="O83" s="153"/>
      <c r="P83" s="153"/>
      <c r="Q83" s="153"/>
      <c r="R83" s="153"/>
      <c r="S83" s="153"/>
      <c r="T83" s="153"/>
      <c r="U83" s="153"/>
    </row>
    <row r="84" spans="2:21" ht="15.75" hidden="1" x14ac:dyDescent="0.25">
      <c r="B84" s="684"/>
      <c r="C84" s="153"/>
      <c r="D84" s="153"/>
      <c r="E84" s="153"/>
      <c r="F84" s="153"/>
      <c r="G84" s="153"/>
      <c r="H84" s="153"/>
      <c r="I84" s="153"/>
      <c r="J84" s="153"/>
      <c r="K84" s="153"/>
      <c r="L84" s="153"/>
      <c r="M84" s="153"/>
      <c r="N84" s="153"/>
      <c r="O84" s="153"/>
      <c r="P84" s="153"/>
      <c r="Q84" s="153"/>
      <c r="R84" s="153"/>
      <c r="S84" s="153"/>
      <c r="T84" s="153"/>
      <c r="U84" s="153"/>
    </row>
    <row r="85" spans="2:21" ht="15.75" hidden="1" x14ac:dyDescent="0.25">
      <c r="B85" s="684"/>
      <c r="C85" s="153"/>
      <c r="D85" s="153"/>
      <c r="E85" s="153"/>
      <c r="F85" s="153"/>
      <c r="G85" s="153"/>
      <c r="H85" s="153"/>
      <c r="I85" s="153"/>
      <c r="J85" s="153"/>
      <c r="K85" s="153"/>
      <c r="L85" s="153"/>
      <c r="M85" s="153"/>
      <c r="N85" s="153"/>
      <c r="O85" s="153"/>
      <c r="P85" s="153"/>
      <c r="Q85" s="153"/>
      <c r="R85" s="153"/>
      <c r="S85" s="153"/>
      <c r="T85" s="153"/>
      <c r="U85" s="153"/>
    </row>
    <row r="86" spans="2:21" ht="15.75" hidden="1" x14ac:dyDescent="0.25">
      <c r="B86" s="684"/>
      <c r="C86" s="153"/>
      <c r="D86" s="153"/>
      <c r="E86" s="153"/>
      <c r="F86" s="153"/>
      <c r="G86" s="153"/>
      <c r="H86" s="153"/>
      <c r="I86" s="153"/>
      <c r="J86" s="153"/>
      <c r="K86" s="153"/>
      <c r="L86" s="153"/>
      <c r="M86" s="153"/>
      <c r="N86" s="153"/>
      <c r="O86" s="153"/>
      <c r="P86" s="153"/>
      <c r="Q86" s="153"/>
      <c r="R86" s="153"/>
      <c r="S86" s="153"/>
      <c r="T86" s="153"/>
      <c r="U86" s="153"/>
    </row>
    <row r="87" spans="2:21" ht="15.75" hidden="1" x14ac:dyDescent="0.25">
      <c r="B87" s="684"/>
      <c r="C87" s="153"/>
      <c r="D87" s="153"/>
      <c r="E87" s="153"/>
      <c r="F87" s="153"/>
      <c r="G87" s="153"/>
      <c r="H87" s="153"/>
      <c r="I87" s="153"/>
      <c r="J87" s="153"/>
      <c r="K87" s="153"/>
      <c r="L87" s="153"/>
      <c r="M87" s="153"/>
      <c r="N87" s="153"/>
      <c r="O87" s="153"/>
      <c r="P87" s="153"/>
      <c r="Q87" s="153"/>
      <c r="R87" s="153"/>
      <c r="S87" s="153"/>
      <c r="T87" s="153"/>
      <c r="U87" s="153"/>
    </row>
    <row r="88" spans="2:21" ht="15.75" hidden="1" x14ac:dyDescent="0.25">
      <c r="B88" s="684"/>
      <c r="C88" s="153"/>
      <c r="D88" s="153"/>
      <c r="E88" s="153"/>
      <c r="F88" s="153"/>
      <c r="G88" s="153"/>
      <c r="H88" s="153"/>
      <c r="I88" s="153"/>
      <c r="J88" s="153"/>
      <c r="K88" s="153"/>
      <c r="L88" s="153"/>
      <c r="M88" s="153"/>
      <c r="N88" s="153"/>
      <c r="O88" s="153"/>
      <c r="P88" s="153"/>
      <c r="Q88" s="153"/>
      <c r="R88" s="153"/>
      <c r="S88" s="153"/>
      <c r="T88" s="153"/>
      <c r="U88" s="153"/>
    </row>
    <row r="89" spans="2:21" ht="15.75" hidden="1" x14ac:dyDescent="0.25">
      <c r="B89" s="684"/>
      <c r="C89" s="153"/>
      <c r="D89" s="153"/>
      <c r="E89" s="153"/>
      <c r="F89" s="153"/>
      <c r="G89" s="153"/>
      <c r="H89" s="153"/>
      <c r="I89" s="153"/>
      <c r="J89" s="153"/>
      <c r="K89" s="153"/>
      <c r="L89" s="153"/>
      <c r="M89" s="153"/>
      <c r="N89" s="153"/>
      <c r="O89" s="153"/>
      <c r="P89" s="153"/>
      <c r="Q89" s="153"/>
      <c r="R89" s="153"/>
      <c r="S89" s="153"/>
      <c r="T89" s="153"/>
      <c r="U89" s="153"/>
    </row>
    <row r="90" spans="2:21" ht="15.75" hidden="1" x14ac:dyDescent="0.25">
      <c r="B90" s="684"/>
      <c r="C90" s="153"/>
      <c r="D90" s="153"/>
      <c r="E90" s="153"/>
      <c r="F90" s="153"/>
      <c r="G90" s="153"/>
      <c r="H90" s="153"/>
      <c r="I90" s="153"/>
      <c r="J90" s="153"/>
      <c r="K90" s="153"/>
      <c r="L90" s="153"/>
      <c r="M90" s="153"/>
      <c r="N90" s="153"/>
      <c r="O90" s="153"/>
      <c r="P90" s="153"/>
      <c r="Q90" s="153"/>
      <c r="R90" s="153"/>
      <c r="S90" s="153"/>
      <c r="T90" s="153"/>
      <c r="U90" s="153"/>
    </row>
    <row r="91" spans="2:21" ht="15.75" hidden="1" x14ac:dyDescent="0.25">
      <c r="B91" s="684"/>
      <c r="C91" s="153"/>
      <c r="D91" s="153"/>
      <c r="E91" s="153"/>
      <c r="F91" s="153"/>
      <c r="G91" s="153"/>
      <c r="H91" s="153"/>
      <c r="I91" s="153"/>
      <c r="J91" s="153"/>
      <c r="K91" s="153"/>
      <c r="L91" s="153"/>
      <c r="M91" s="153"/>
      <c r="N91" s="153"/>
      <c r="O91" s="153"/>
      <c r="P91" s="153"/>
      <c r="Q91" s="153"/>
      <c r="R91" s="153"/>
      <c r="S91" s="153"/>
      <c r="T91" s="153"/>
      <c r="U91" s="153"/>
    </row>
    <row r="92" spans="2:21" ht="15.75" hidden="1" x14ac:dyDescent="0.25">
      <c r="B92" s="684"/>
      <c r="C92" s="153"/>
      <c r="D92" s="153"/>
      <c r="E92" s="153"/>
      <c r="F92" s="153"/>
      <c r="G92" s="153"/>
      <c r="H92" s="153"/>
      <c r="I92" s="153"/>
      <c r="J92" s="153"/>
      <c r="K92" s="153"/>
      <c r="L92" s="153"/>
      <c r="M92" s="153"/>
      <c r="N92" s="153"/>
      <c r="O92" s="153"/>
      <c r="P92" s="153"/>
      <c r="Q92" s="153"/>
      <c r="R92" s="153"/>
      <c r="S92" s="153"/>
      <c r="T92" s="153"/>
      <c r="U92" s="153"/>
    </row>
    <row r="93" spans="2:21" ht="15.75" hidden="1" x14ac:dyDescent="0.25">
      <c r="B93" s="684"/>
      <c r="C93" s="153"/>
      <c r="D93" s="153"/>
      <c r="E93" s="153"/>
      <c r="F93" s="153"/>
      <c r="G93" s="153"/>
      <c r="H93" s="153"/>
      <c r="I93" s="153"/>
      <c r="J93" s="153"/>
      <c r="K93" s="153"/>
      <c r="L93" s="153"/>
      <c r="M93" s="153"/>
      <c r="N93" s="153"/>
      <c r="O93" s="153"/>
      <c r="P93" s="153"/>
      <c r="Q93" s="153"/>
      <c r="R93" s="153"/>
      <c r="S93" s="153"/>
      <c r="T93" s="153"/>
      <c r="U93" s="153"/>
    </row>
    <row r="94" spans="2:21" ht="15.75" hidden="1" x14ac:dyDescent="0.25">
      <c r="B94" s="684"/>
      <c r="C94" s="153"/>
      <c r="D94" s="153"/>
      <c r="E94" s="153"/>
      <c r="F94" s="153"/>
      <c r="G94" s="153"/>
      <c r="H94" s="153"/>
      <c r="I94" s="153"/>
      <c r="J94" s="153"/>
      <c r="K94" s="153"/>
      <c r="L94" s="153"/>
      <c r="M94" s="153"/>
      <c r="N94" s="153"/>
      <c r="O94" s="153"/>
      <c r="P94" s="153"/>
      <c r="Q94" s="153"/>
      <c r="R94" s="153"/>
      <c r="S94" s="153"/>
      <c r="T94" s="153"/>
      <c r="U94" s="153"/>
    </row>
    <row r="95" spans="2:21" ht="15.75" hidden="1" x14ac:dyDescent="0.25">
      <c r="B95" s="684"/>
      <c r="C95" s="153"/>
      <c r="D95" s="153"/>
      <c r="E95" s="153"/>
      <c r="F95" s="153"/>
      <c r="G95" s="153"/>
      <c r="H95" s="153"/>
      <c r="I95" s="153"/>
      <c r="J95" s="153"/>
      <c r="K95" s="153"/>
      <c r="L95" s="153"/>
      <c r="M95" s="153"/>
      <c r="N95" s="153"/>
      <c r="O95" s="153"/>
      <c r="P95" s="153"/>
      <c r="Q95" s="153"/>
      <c r="R95" s="153"/>
      <c r="S95" s="153"/>
      <c r="T95" s="153"/>
      <c r="U95" s="153"/>
    </row>
    <row r="96" spans="2:21" ht="15.75" hidden="1" x14ac:dyDescent="0.25">
      <c r="B96" s="684"/>
      <c r="C96" s="153"/>
      <c r="D96" s="153"/>
      <c r="E96" s="153"/>
      <c r="F96" s="153"/>
      <c r="G96" s="153"/>
      <c r="H96" s="153"/>
      <c r="I96" s="153"/>
      <c r="J96" s="153"/>
      <c r="K96" s="153"/>
      <c r="L96" s="153"/>
      <c r="M96" s="153"/>
      <c r="N96" s="153"/>
      <c r="O96" s="153"/>
      <c r="P96" s="153"/>
      <c r="Q96" s="153"/>
      <c r="R96" s="153"/>
      <c r="S96" s="153"/>
      <c r="T96" s="153"/>
      <c r="U96" s="153"/>
    </row>
    <row r="97" spans="2:21" ht="15.75" hidden="1" x14ac:dyDescent="0.25">
      <c r="B97" s="684"/>
      <c r="C97" s="153"/>
      <c r="D97" s="153"/>
      <c r="E97" s="153"/>
      <c r="F97" s="153"/>
      <c r="G97" s="153"/>
      <c r="H97" s="153"/>
      <c r="I97" s="153"/>
      <c r="J97" s="153"/>
      <c r="K97" s="153"/>
      <c r="L97" s="153"/>
      <c r="M97" s="153"/>
      <c r="N97" s="153"/>
      <c r="O97" s="153"/>
      <c r="P97" s="153"/>
      <c r="Q97" s="153"/>
      <c r="R97" s="153"/>
      <c r="S97" s="153"/>
      <c r="T97" s="153"/>
      <c r="U97" s="153"/>
    </row>
    <row r="98" spans="2:21" ht="15.75" hidden="1" x14ac:dyDescent="0.25">
      <c r="B98" s="684"/>
      <c r="C98" s="153"/>
      <c r="D98" s="153"/>
      <c r="E98" s="153"/>
      <c r="F98" s="153"/>
      <c r="G98" s="153"/>
      <c r="H98" s="153"/>
      <c r="I98" s="153"/>
      <c r="J98" s="153"/>
      <c r="K98" s="153"/>
      <c r="L98" s="153"/>
      <c r="M98" s="153"/>
      <c r="N98" s="153"/>
      <c r="O98" s="153"/>
      <c r="P98" s="153"/>
      <c r="Q98" s="153"/>
      <c r="R98" s="153"/>
      <c r="S98" s="153"/>
      <c r="T98" s="153"/>
      <c r="U98" s="153"/>
    </row>
    <row r="99" spans="2:21" ht="15.75" hidden="1" x14ac:dyDescent="0.25">
      <c r="B99" s="684"/>
      <c r="C99" s="153"/>
      <c r="D99" s="153"/>
      <c r="E99" s="153"/>
      <c r="F99" s="153"/>
      <c r="G99" s="153"/>
      <c r="H99" s="153"/>
      <c r="I99" s="153"/>
      <c r="J99" s="153"/>
      <c r="K99" s="153"/>
      <c r="L99" s="153"/>
      <c r="M99" s="153"/>
      <c r="N99" s="153"/>
      <c r="O99" s="153"/>
      <c r="P99" s="153"/>
      <c r="Q99" s="153"/>
      <c r="R99" s="153"/>
      <c r="S99" s="153"/>
      <c r="T99" s="153"/>
      <c r="U99" s="153"/>
    </row>
    <row r="100" spans="2:21" ht="15.75" hidden="1" x14ac:dyDescent="0.25">
      <c r="B100" s="684"/>
      <c r="C100" s="153"/>
      <c r="D100" s="153"/>
      <c r="E100" s="153"/>
      <c r="F100" s="153"/>
      <c r="G100" s="153"/>
      <c r="H100" s="153"/>
      <c r="I100" s="153"/>
      <c r="J100" s="153"/>
      <c r="K100" s="153"/>
      <c r="L100" s="153"/>
      <c r="M100" s="153"/>
      <c r="N100" s="153"/>
      <c r="O100" s="153"/>
      <c r="P100" s="153"/>
      <c r="Q100" s="153"/>
      <c r="R100" s="153"/>
      <c r="S100" s="153"/>
      <c r="T100" s="153"/>
      <c r="U100" s="153"/>
    </row>
    <row r="101" spans="2:21" ht="15.75" hidden="1" x14ac:dyDescent="0.25">
      <c r="B101" s="684"/>
      <c r="C101" s="153"/>
      <c r="D101" s="153"/>
      <c r="E101" s="153"/>
      <c r="F101" s="153"/>
      <c r="G101" s="153"/>
      <c r="H101" s="153"/>
      <c r="I101" s="153"/>
      <c r="J101" s="153"/>
      <c r="K101" s="153"/>
      <c r="L101" s="153"/>
      <c r="M101" s="153"/>
      <c r="N101" s="153"/>
      <c r="O101" s="153"/>
      <c r="P101" s="153"/>
      <c r="Q101" s="153"/>
      <c r="R101" s="153"/>
      <c r="S101" s="153"/>
      <c r="T101" s="153"/>
      <c r="U101" s="153"/>
    </row>
    <row r="102" spans="2:21" ht="15.75" hidden="1" x14ac:dyDescent="0.25">
      <c r="B102" s="684"/>
      <c r="C102" s="153"/>
      <c r="D102" s="153"/>
      <c r="E102" s="153"/>
      <c r="F102" s="153"/>
      <c r="G102" s="153"/>
      <c r="H102" s="153"/>
      <c r="I102" s="153"/>
      <c r="J102" s="153"/>
      <c r="K102" s="153"/>
      <c r="L102" s="153"/>
      <c r="M102" s="153"/>
      <c r="N102" s="153"/>
      <c r="O102" s="153"/>
      <c r="P102" s="153"/>
      <c r="Q102" s="153"/>
      <c r="R102" s="153"/>
      <c r="S102" s="153"/>
      <c r="T102" s="153"/>
      <c r="U102" s="153"/>
    </row>
    <row r="103" spans="2:21" ht="15.75" hidden="1" x14ac:dyDescent="0.25">
      <c r="B103" s="684"/>
      <c r="C103" s="153"/>
      <c r="D103" s="153"/>
      <c r="E103" s="153"/>
      <c r="F103" s="153"/>
      <c r="G103" s="153"/>
      <c r="H103" s="153"/>
      <c r="I103" s="153"/>
      <c r="J103" s="153"/>
      <c r="K103" s="153"/>
      <c r="L103" s="153"/>
      <c r="M103" s="153"/>
      <c r="N103" s="153"/>
      <c r="O103" s="153"/>
      <c r="P103" s="153"/>
      <c r="Q103" s="153"/>
      <c r="R103" s="153"/>
      <c r="S103" s="153"/>
      <c r="T103" s="153"/>
      <c r="U103" s="153"/>
    </row>
    <row r="104" spans="2:21" ht="15.75" hidden="1" x14ac:dyDescent="0.25">
      <c r="B104" s="684"/>
      <c r="C104" s="153"/>
      <c r="D104" s="153"/>
      <c r="E104" s="153"/>
      <c r="F104" s="153"/>
      <c r="G104" s="153"/>
      <c r="H104" s="153"/>
      <c r="I104" s="153"/>
      <c r="J104" s="153"/>
      <c r="K104" s="153"/>
      <c r="L104" s="153"/>
      <c r="M104" s="153"/>
      <c r="N104" s="153"/>
      <c r="O104" s="153"/>
      <c r="P104" s="153"/>
      <c r="Q104" s="153"/>
      <c r="R104" s="153"/>
      <c r="S104" s="153"/>
      <c r="T104" s="153"/>
      <c r="U104" s="153"/>
    </row>
    <row r="105" spans="2:21" ht="15.75" hidden="1" x14ac:dyDescent="0.25">
      <c r="B105" s="684"/>
      <c r="C105" s="153"/>
      <c r="D105" s="153"/>
      <c r="E105" s="153"/>
      <c r="F105" s="153"/>
      <c r="G105" s="153"/>
      <c r="H105" s="153"/>
      <c r="I105" s="153"/>
      <c r="J105" s="153"/>
      <c r="K105" s="153"/>
      <c r="L105" s="153"/>
      <c r="M105" s="153"/>
      <c r="N105" s="153"/>
      <c r="O105" s="153"/>
      <c r="P105" s="153"/>
      <c r="Q105" s="153"/>
      <c r="R105" s="153"/>
      <c r="S105" s="153"/>
      <c r="T105" s="153"/>
      <c r="U105" s="153"/>
    </row>
    <row r="106" spans="2:21" ht="15.75" hidden="1" x14ac:dyDescent="0.25">
      <c r="B106" s="684"/>
      <c r="C106" s="153"/>
      <c r="D106" s="153"/>
      <c r="E106" s="153"/>
      <c r="F106" s="153"/>
      <c r="G106" s="153"/>
      <c r="H106" s="153"/>
      <c r="I106" s="153"/>
      <c r="J106" s="153"/>
      <c r="K106" s="153"/>
      <c r="L106" s="153"/>
      <c r="M106" s="153"/>
      <c r="N106" s="153"/>
      <c r="O106" s="153"/>
      <c r="P106" s="153"/>
      <c r="Q106" s="153"/>
      <c r="R106" s="153"/>
      <c r="S106" s="153"/>
      <c r="T106" s="153"/>
      <c r="U106" s="153"/>
    </row>
    <row r="107" spans="2:21" ht="15.75" hidden="1" x14ac:dyDescent="0.25">
      <c r="B107" s="684"/>
      <c r="C107" s="153"/>
      <c r="D107" s="153"/>
      <c r="E107" s="153"/>
      <c r="F107" s="153"/>
      <c r="G107" s="153"/>
      <c r="H107" s="153"/>
      <c r="I107" s="153"/>
      <c r="J107" s="153"/>
      <c r="K107" s="153"/>
      <c r="L107" s="153"/>
      <c r="M107" s="153"/>
      <c r="N107" s="153"/>
      <c r="O107" s="153"/>
      <c r="P107" s="153"/>
      <c r="Q107" s="153"/>
      <c r="R107" s="153"/>
      <c r="S107" s="153"/>
      <c r="T107" s="153"/>
      <c r="U107" s="153"/>
    </row>
    <row r="108" spans="2:21" ht="15.75" hidden="1" x14ac:dyDescent="0.25">
      <c r="B108" s="684"/>
      <c r="C108" s="153"/>
      <c r="D108" s="153"/>
      <c r="E108" s="153"/>
      <c r="F108" s="153"/>
      <c r="G108" s="153"/>
      <c r="H108" s="153"/>
      <c r="I108" s="153"/>
      <c r="J108" s="153"/>
      <c r="K108" s="153"/>
      <c r="L108" s="153"/>
      <c r="M108" s="153"/>
      <c r="N108" s="153"/>
      <c r="O108" s="153"/>
      <c r="P108" s="153"/>
      <c r="Q108" s="153"/>
      <c r="R108" s="153"/>
      <c r="S108" s="153"/>
      <c r="T108" s="153"/>
      <c r="U108" s="153"/>
    </row>
    <row r="109" spans="2:21" ht="15.75" hidden="1" x14ac:dyDescent="0.25">
      <c r="B109" s="684"/>
      <c r="C109" s="153"/>
      <c r="D109" s="153"/>
      <c r="E109" s="153"/>
      <c r="F109" s="153"/>
      <c r="G109" s="153"/>
      <c r="H109" s="153"/>
      <c r="I109" s="153"/>
      <c r="J109" s="153"/>
      <c r="K109" s="153"/>
      <c r="L109" s="153"/>
      <c r="M109" s="153"/>
      <c r="N109" s="153"/>
      <c r="O109" s="153"/>
      <c r="P109" s="153"/>
      <c r="Q109" s="153"/>
      <c r="R109" s="153"/>
      <c r="S109" s="153"/>
      <c r="T109" s="153"/>
      <c r="U109" s="153"/>
    </row>
    <row r="110" spans="2:21" ht="15.75" hidden="1" x14ac:dyDescent="0.25">
      <c r="B110" s="684"/>
      <c r="C110" s="153"/>
      <c r="D110" s="153"/>
      <c r="E110" s="153"/>
      <c r="F110" s="153"/>
      <c r="G110" s="153"/>
      <c r="H110" s="153"/>
      <c r="I110" s="153"/>
      <c r="J110" s="153"/>
      <c r="K110" s="153"/>
      <c r="L110" s="153"/>
      <c r="M110" s="153"/>
      <c r="N110" s="153"/>
      <c r="O110" s="153"/>
      <c r="P110" s="153"/>
      <c r="Q110" s="153"/>
      <c r="R110" s="153"/>
      <c r="S110" s="153"/>
      <c r="T110" s="153"/>
      <c r="U110" s="153"/>
    </row>
    <row r="111" spans="2:21" ht="15.75" hidden="1" x14ac:dyDescent="0.25">
      <c r="B111" s="684"/>
      <c r="C111" s="153"/>
      <c r="D111" s="153"/>
      <c r="E111" s="153"/>
      <c r="F111" s="153"/>
      <c r="G111" s="153"/>
      <c r="H111" s="153"/>
      <c r="I111" s="153"/>
      <c r="J111" s="153"/>
      <c r="K111" s="153"/>
      <c r="L111" s="153"/>
      <c r="M111" s="153"/>
      <c r="N111" s="153"/>
      <c r="O111" s="153"/>
      <c r="P111" s="153"/>
      <c r="Q111" s="153"/>
      <c r="R111" s="153"/>
      <c r="S111" s="153"/>
      <c r="T111" s="153"/>
      <c r="U111" s="153"/>
    </row>
    <row r="112" spans="2:21" ht="15.75" hidden="1" x14ac:dyDescent="0.25">
      <c r="B112" s="684"/>
      <c r="C112" s="153"/>
      <c r="D112" s="153"/>
      <c r="E112" s="153"/>
      <c r="F112" s="153"/>
      <c r="G112" s="153"/>
      <c r="H112" s="153"/>
      <c r="I112" s="153"/>
      <c r="J112" s="153"/>
      <c r="K112" s="153"/>
      <c r="L112" s="153"/>
      <c r="M112" s="153"/>
      <c r="N112" s="153"/>
      <c r="O112" s="153"/>
      <c r="P112" s="153"/>
      <c r="Q112" s="153"/>
      <c r="R112" s="153"/>
      <c r="S112" s="153"/>
      <c r="T112" s="153"/>
      <c r="U112" s="153"/>
    </row>
    <row r="113" spans="2:21" ht="15.75" hidden="1" x14ac:dyDescent="0.25">
      <c r="B113" s="684"/>
      <c r="C113" s="153"/>
      <c r="D113" s="153"/>
      <c r="E113" s="153"/>
      <c r="F113" s="153"/>
      <c r="G113" s="153"/>
      <c r="H113" s="153"/>
      <c r="I113" s="153"/>
      <c r="J113" s="153"/>
      <c r="K113" s="153"/>
      <c r="L113" s="153"/>
      <c r="M113" s="153"/>
      <c r="N113" s="153"/>
      <c r="O113" s="153"/>
      <c r="P113" s="153"/>
      <c r="Q113" s="153"/>
      <c r="R113" s="153"/>
      <c r="S113" s="153"/>
      <c r="T113" s="153"/>
      <c r="U113" s="153"/>
    </row>
    <row r="114" spans="2:21" ht="15.75" hidden="1" x14ac:dyDescent="0.25">
      <c r="B114" s="684"/>
      <c r="C114" s="153"/>
      <c r="D114" s="153"/>
      <c r="E114" s="153"/>
      <c r="F114" s="153"/>
      <c r="G114" s="153"/>
      <c r="H114" s="153"/>
      <c r="I114" s="153"/>
      <c r="J114" s="153"/>
      <c r="K114" s="153"/>
      <c r="L114" s="153"/>
      <c r="M114" s="153"/>
      <c r="N114" s="153"/>
      <c r="O114" s="153"/>
      <c r="P114" s="153"/>
      <c r="Q114" s="153"/>
      <c r="R114" s="153"/>
      <c r="S114" s="153"/>
      <c r="T114" s="153"/>
      <c r="U114" s="153"/>
    </row>
    <row r="115" spans="2:21" ht="15.75" hidden="1" x14ac:dyDescent="0.25">
      <c r="B115" s="684"/>
      <c r="C115" s="153"/>
      <c r="D115" s="153"/>
      <c r="E115" s="153"/>
      <c r="F115" s="153"/>
      <c r="G115" s="153"/>
      <c r="H115" s="153"/>
      <c r="I115" s="153"/>
      <c r="J115" s="153"/>
      <c r="K115" s="153"/>
      <c r="L115" s="153"/>
      <c r="M115" s="153"/>
      <c r="N115" s="153"/>
      <c r="O115" s="153"/>
      <c r="P115" s="153"/>
      <c r="Q115" s="153"/>
      <c r="R115" s="153"/>
      <c r="S115" s="153"/>
      <c r="T115" s="153"/>
      <c r="U115" s="153"/>
    </row>
    <row r="116" spans="2:21" ht="15.75" hidden="1" x14ac:dyDescent="0.25">
      <c r="B116" s="684"/>
      <c r="C116" s="153"/>
      <c r="D116" s="153"/>
      <c r="E116" s="153"/>
      <c r="F116" s="153"/>
      <c r="G116" s="153"/>
      <c r="H116" s="153"/>
      <c r="I116" s="153"/>
      <c r="J116" s="153"/>
      <c r="K116" s="153"/>
      <c r="L116" s="153"/>
      <c r="M116" s="153"/>
      <c r="N116" s="153"/>
      <c r="O116" s="153"/>
      <c r="P116" s="153"/>
      <c r="Q116" s="153"/>
      <c r="R116" s="153"/>
      <c r="S116" s="153"/>
      <c r="T116" s="153"/>
      <c r="U116" s="153"/>
    </row>
    <row r="117" spans="2:21" ht="15.75" hidden="1" x14ac:dyDescent="0.25">
      <c r="B117" s="684"/>
      <c r="C117" s="153"/>
      <c r="D117" s="153"/>
      <c r="E117" s="153"/>
      <c r="F117" s="153"/>
      <c r="G117" s="153"/>
      <c r="H117" s="153"/>
      <c r="I117" s="153"/>
      <c r="J117" s="153"/>
      <c r="K117" s="153"/>
      <c r="L117" s="153"/>
      <c r="M117" s="153"/>
      <c r="N117" s="153"/>
      <c r="O117" s="153"/>
      <c r="P117" s="153"/>
      <c r="Q117" s="153"/>
      <c r="R117" s="153"/>
      <c r="S117" s="153"/>
      <c r="T117" s="153"/>
      <c r="U117" s="153"/>
    </row>
    <row r="118" spans="2:21" ht="15.75" hidden="1" x14ac:dyDescent="0.25">
      <c r="B118" s="684"/>
      <c r="C118" s="153"/>
      <c r="D118" s="153"/>
      <c r="E118" s="153"/>
      <c r="F118" s="153"/>
      <c r="G118" s="153"/>
      <c r="H118" s="153"/>
      <c r="I118" s="153"/>
      <c r="J118" s="153"/>
      <c r="K118" s="153"/>
      <c r="L118" s="153"/>
      <c r="M118" s="153"/>
      <c r="N118" s="153"/>
      <c r="O118" s="153"/>
      <c r="P118" s="153"/>
      <c r="Q118" s="153"/>
      <c r="R118" s="153"/>
      <c r="S118" s="153"/>
      <c r="T118" s="153"/>
      <c r="U118" s="153"/>
    </row>
    <row r="119" spans="2:21" ht="15.75" hidden="1" x14ac:dyDescent="0.25">
      <c r="B119" s="684"/>
      <c r="C119" s="153"/>
      <c r="D119" s="153"/>
      <c r="E119" s="153"/>
      <c r="F119" s="153"/>
      <c r="G119" s="153"/>
      <c r="H119" s="153"/>
      <c r="I119" s="153"/>
      <c r="J119" s="153"/>
      <c r="K119" s="153"/>
      <c r="L119" s="153"/>
      <c r="M119" s="153"/>
      <c r="N119" s="153"/>
      <c r="O119" s="153"/>
      <c r="P119" s="153"/>
      <c r="Q119" s="153"/>
      <c r="R119" s="153"/>
      <c r="S119" s="153"/>
      <c r="T119" s="153"/>
      <c r="U119" s="153"/>
    </row>
    <row r="120" spans="2:21" ht="15.75" hidden="1" x14ac:dyDescent="0.25">
      <c r="B120" s="684"/>
      <c r="C120" s="153"/>
      <c r="D120" s="153"/>
      <c r="E120" s="153"/>
      <c r="F120" s="153"/>
      <c r="G120" s="153"/>
      <c r="H120" s="153"/>
      <c r="I120" s="153"/>
      <c r="J120" s="153"/>
      <c r="K120" s="153"/>
      <c r="L120" s="153"/>
      <c r="M120" s="153"/>
      <c r="N120" s="153"/>
      <c r="O120" s="153"/>
      <c r="P120" s="153"/>
      <c r="Q120" s="153"/>
      <c r="R120" s="153"/>
      <c r="S120" s="153"/>
      <c r="T120" s="153"/>
      <c r="U120" s="153"/>
    </row>
    <row r="121" spans="2:21" ht="15.75" hidden="1" x14ac:dyDescent="0.25">
      <c r="B121" s="684"/>
      <c r="C121" s="153"/>
      <c r="D121" s="153"/>
      <c r="E121" s="153"/>
      <c r="F121" s="153"/>
      <c r="G121" s="153"/>
      <c r="H121" s="153"/>
      <c r="I121" s="153"/>
      <c r="J121" s="153"/>
      <c r="K121" s="153"/>
      <c r="L121" s="153"/>
      <c r="M121" s="153"/>
      <c r="N121" s="153"/>
      <c r="O121" s="153"/>
      <c r="P121" s="153"/>
      <c r="Q121" s="153"/>
      <c r="R121" s="153"/>
      <c r="S121" s="153"/>
      <c r="T121" s="153"/>
      <c r="U121" s="153"/>
    </row>
    <row r="122" spans="2:21" ht="15.75" hidden="1" x14ac:dyDescent="0.25">
      <c r="B122" s="684"/>
      <c r="C122" s="153"/>
      <c r="D122" s="153"/>
      <c r="E122" s="153"/>
      <c r="F122" s="153"/>
      <c r="G122" s="153"/>
      <c r="H122" s="153"/>
      <c r="I122" s="153"/>
      <c r="J122" s="153"/>
      <c r="K122" s="153"/>
      <c r="L122" s="153"/>
      <c r="M122" s="153"/>
      <c r="N122" s="153"/>
      <c r="O122" s="153"/>
      <c r="P122" s="153"/>
      <c r="Q122" s="153"/>
      <c r="R122" s="153"/>
      <c r="S122" s="153"/>
      <c r="T122" s="153"/>
      <c r="U122" s="153"/>
    </row>
    <row r="123" spans="2:21" ht="15.75" hidden="1" x14ac:dyDescent="0.25">
      <c r="B123" s="684"/>
      <c r="C123" s="153"/>
      <c r="D123" s="153"/>
      <c r="E123" s="153"/>
      <c r="F123" s="153"/>
      <c r="G123" s="153"/>
      <c r="H123" s="153"/>
      <c r="I123" s="153"/>
      <c r="J123" s="153"/>
      <c r="K123" s="153"/>
      <c r="L123" s="153"/>
      <c r="M123" s="153"/>
      <c r="N123" s="153"/>
      <c r="O123" s="153"/>
      <c r="P123" s="153"/>
      <c r="Q123" s="153"/>
      <c r="R123" s="153"/>
      <c r="S123" s="153"/>
      <c r="T123" s="153"/>
      <c r="U123" s="153"/>
    </row>
    <row r="124" spans="2:21" ht="15.75" hidden="1" x14ac:dyDescent="0.25">
      <c r="B124" s="684"/>
      <c r="C124" s="153"/>
      <c r="D124" s="153"/>
      <c r="E124" s="153"/>
      <c r="F124" s="153"/>
      <c r="G124" s="153"/>
      <c r="H124" s="153"/>
      <c r="I124" s="153"/>
      <c r="J124" s="153"/>
      <c r="K124" s="153"/>
      <c r="L124" s="153"/>
      <c r="M124" s="153"/>
      <c r="N124" s="153"/>
      <c r="O124" s="153"/>
      <c r="P124" s="153"/>
      <c r="Q124" s="153"/>
      <c r="R124" s="153"/>
      <c r="S124" s="153"/>
      <c r="T124" s="153"/>
      <c r="U124" s="153"/>
    </row>
    <row r="125" spans="2:21" ht="15.75" hidden="1" x14ac:dyDescent="0.25">
      <c r="B125" s="684"/>
      <c r="C125" s="153"/>
      <c r="D125" s="153"/>
      <c r="E125" s="153"/>
      <c r="F125" s="153"/>
      <c r="G125" s="153"/>
      <c r="H125" s="153"/>
      <c r="I125" s="153"/>
      <c r="J125" s="153"/>
      <c r="K125" s="153"/>
      <c r="L125" s="153"/>
      <c r="M125" s="153"/>
      <c r="N125" s="153"/>
      <c r="O125" s="153"/>
      <c r="P125" s="153"/>
      <c r="Q125" s="153"/>
      <c r="R125" s="153"/>
      <c r="S125" s="153"/>
      <c r="T125" s="153"/>
      <c r="U125" s="153"/>
    </row>
    <row r="126" spans="2:21" ht="15.75" hidden="1" x14ac:dyDescent="0.25">
      <c r="B126" s="684"/>
      <c r="C126" s="153"/>
      <c r="D126" s="153"/>
      <c r="E126" s="153"/>
      <c r="F126" s="153"/>
      <c r="G126" s="153"/>
      <c r="H126" s="153"/>
      <c r="I126" s="153"/>
      <c r="J126" s="153"/>
      <c r="K126" s="153"/>
      <c r="L126" s="153"/>
      <c r="M126" s="153"/>
      <c r="N126" s="153"/>
      <c r="O126" s="153"/>
      <c r="P126" s="153"/>
      <c r="Q126" s="153"/>
      <c r="R126" s="153"/>
      <c r="S126" s="153"/>
      <c r="T126" s="153"/>
      <c r="U126" s="153"/>
    </row>
    <row r="127" spans="2:21" ht="15.75" hidden="1" x14ac:dyDescent="0.25">
      <c r="B127" s="684"/>
      <c r="C127" s="153"/>
      <c r="D127" s="153"/>
      <c r="E127" s="153"/>
      <c r="F127" s="153"/>
      <c r="G127" s="153"/>
      <c r="H127" s="153"/>
      <c r="I127" s="153"/>
      <c r="J127" s="153"/>
      <c r="K127" s="153"/>
      <c r="L127" s="153"/>
      <c r="M127" s="153"/>
      <c r="N127" s="153"/>
      <c r="O127" s="153"/>
      <c r="P127" s="153"/>
      <c r="Q127" s="153"/>
      <c r="R127" s="153"/>
      <c r="S127" s="153"/>
      <c r="T127" s="153"/>
      <c r="U127" s="153"/>
    </row>
    <row r="128" spans="2:21" ht="15.75" hidden="1" x14ac:dyDescent="0.25">
      <c r="B128" s="684"/>
      <c r="C128" s="153"/>
      <c r="D128" s="153"/>
      <c r="E128" s="153"/>
      <c r="F128" s="153"/>
      <c r="G128" s="153"/>
      <c r="H128" s="153"/>
      <c r="I128" s="153"/>
      <c r="J128" s="153"/>
      <c r="K128" s="153"/>
      <c r="L128" s="153"/>
      <c r="M128" s="153"/>
      <c r="N128" s="153"/>
      <c r="O128" s="153"/>
      <c r="P128" s="153"/>
      <c r="Q128" s="153"/>
      <c r="R128" s="153"/>
      <c r="S128" s="153"/>
      <c r="T128" s="153"/>
      <c r="U128" s="153"/>
    </row>
    <row r="129" spans="2:21" ht="15.75" hidden="1" x14ac:dyDescent="0.25">
      <c r="B129" s="684"/>
      <c r="C129" s="153"/>
      <c r="D129" s="153"/>
      <c r="E129" s="153"/>
      <c r="F129" s="153"/>
      <c r="G129" s="153"/>
      <c r="H129" s="153"/>
      <c r="I129" s="153"/>
      <c r="J129" s="153"/>
      <c r="K129" s="153"/>
      <c r="L129" s="153"/>
      <c r="M129" s="153"/>
      <c r="N129" s="153"/>
      <c r="O129" s="153"/>
      <c r="P129" s="153"/>
      <c r="Q129" s="153"/>
      <c r="R129" s="153"/>
      <c r="S129" s="153"/>
      <c r="T129" s="153"/>
      <c r="U129" s="153"/>
    </row>
    <row r="130" spans="2:21" ht="15.75" hidden="1" x14ac:dyDescent="0.25">
      <c r="B130" s="684"/>
      <c r="C130" s="153"/>
      <c r="D130" s="153"/>
      <c r="E130" s="153"/>
      <c r="F130" s="153"/>
      <c r="G130" s="153"/>
      <c r="H130" s="153"/>
      <c r="I130" s="153"/>
      <c r="J130" s="153"/>
      <c r="K130" s="153"/>
      <c r="L130" s="153"/>
      <c r="M130" s="153"/>
      <c r="N130" s="153"/>
      <c r="O130" s="153"/>
      <c r="P130" s="153"/>
      <c r="Q130" s="153"/>
      <c r="R130" s="153"/>
      <c r="S130" s="153"/>
      <c r="T130" s="153"/>
      <c r="U130" s="153"/>
    </row>
    <row r="131" spans="2:21" ht="15.75" hidden="1" x14ac:dyDescent="0.25">
      <c r="B131" s="684"/>
      <c r="C131" s="153"/>
      <c r="D131" s="153"/>
      <c r="E131" s="153"/>
      <c r="F131" s="153"/>
      <c r="G131" s="153"/>
      <c r="H131" s="153"/>
      <c r="I131" s="153"/>
      <c r="J131" s="153"/>
      <c r="K131" s="153"/>
      <c r="L131" s="153"/>
      <c r="M131" s="153"/>
      <c r="N131" s="153"/>
      <c r="O131" s="153"/>
      <c r="P131" s="153"/>
      <c r="Q131" s="153"/>
      <c r="R131" s="153"/>
      <c r="S131" s="153"/>
      <c r="T131" s="153"/>
      <c r="U131" s="153"/>
    </row>
    <row r="132" spans="2:21" ht="15.75" hidden="1" x14ac:dyDescent="0.25">
      <c r="B132" s="684"/>
      <c r="C132" s="153"/>
      <c r="D132" s="153"/>
      <c r="E132" s="153"/>
      <c r="F132" s="153"/>
      <c r="G132" s="153"/>
      <c r="H132" s="153"/>
      <c r="I132" s="153"/>
      <c r="J132" s="153"/>
      <c r="K132" s="153"/>
      <c r="L132" s="153"/>
      <c r="M132" s="153"/>
      <c r="N132" s="153"/>
      <c r="O132" s="153"/>
      <c r="P132" s="153"/>
      <c r="Q132" s="153"/>
      <c r="R132" s="153"/>
      <c r="S132" s="153"/>
      <c r="T132" s="153"/>
      <c r="U132" s="153"/>
    </row>
    <row r="133" spans="2:21" ht="15.75" hidden="1" x14ac:dyDescent="0.25">
      <c r="B133" s="684"/>
      <c r="C133" s="153"/>
      <c r="D133" s="153"/>
      <c r="E133" s="153"/>
      <c r="F133" s="153"/>
      <c r="G133" s="153"/>
      <c r="H133" s="153"/>
      <c r="I133" s="153"/>
      <c r="J133" s="153"/>
      <c r="K133" s="153"/>
      <c r="L133" s="153"/>
      <c r="M133" s="153"/>
      <c r="N133" s="153"/>
      <c r="O133" s="153"/>
      <c r="P133" s="153"/>
      <c r="Q133" s="153"/>
      <c r="R133" s="153"/>
      <c r="S133" s="153"/>
      <c r="T133" s="153"/>
      <c r="U133" s="153"/>
    </row>
    <row r="134" spans="2:21" ht="15.75" hidden="1" x14ac:dyDescent="0.25">
      <c r="B134" s="684"/>
      <c r="C134" s="153"/>
      <c r="D134" s="153"/>
      <c r="E134" s="153"/>
      <c r="F134" s="153"/>
      <c r="G134" s="153"/>
      <c r="H134" s="153"/>
      <c r="I134" s="153"/>
      <c r="J134" s="153"/>
      <c r="K134" s="153"/>
      <c r="L134" s="153"/>
      <c r="M134" s="153"/>
      <c r="N134" s="153"/>
      <c r="O134" s="153"/>
      <c r="P134" s="153"/>
      <c r="Q134" s="153"/>
      <c r="R134" s="153"/>
      <c r="S134" s="153"/>
      <c r="T134" s="153"/>
      <c r="U134" s="153"/>
    </row>
    <row r="135" spans="2:21" ht="15.75" hidden="1" x14ac:dyDescent="0.25">
      <c r="B135" s="684"/>
      <c r="C135" s="153"/>
      <c r="D135" s="153"/>
      <c r="E135" s="153"/>
      <c r="F135" s="153"/>
      <c r="G135" s="153"/>
      <c r="H135" s="153"/>
      <c r="I135" s="153"/>
      <c r="J135" s="153"/>
      <c r="K135" s="153"/>
      <c r="L135" s="153"/>
      <c r="M135" s="153"/>
      <c r="N135" s="153"/>
      <c r="O135" s="153"/>
      <c r="P135" s="153"/>
      <c r="Q135" s="153"/>
      <c r="R135" s="153"/>
      <c r="S135" s="153"/>
      <c r="T135" s="153"/>
      <c r="U135" s="153"/>
    </row>
    <row r="136" spans="2:21" ht="15.75" hidden="1" x14ac:dyDescent="0.25">
      <c r="B136" s="684"/>
      <c r="C136" s="153"/>
      <c r="D136" s="153"/>
      <c r="E136" s="153"/>
      <c r="F136" s="153"/>
      <c r="G136" s="153"/>
      <c r="H136" s="153"/>
      <c r="I136" s="153"/>
      <c r="J136" s="153"/>
      <c r="K136" s="153"/>
      <c r="L136" s="153"/>
      <c r="M136" s="153"/>
      <c r="N136" s="153"/>
      <c r="O136" s="153"/>
      <c r="P136" s="153"/>
      <c r="Q136" s="153"/>
      <c r="R136" s="153"/>
      <c r="S136" s="153"/>
      <c r="T136" s="153"/>
      <c r="U136" s="153"/>
    </row>
    <row r="137" spans="2:21" ht="15.75" hidden="1" x14ac:dyDescent="0.25">
      <c r="B137" s="684"/>
      <c r="C137" s="153"/>
      <c r="D137" s="153"/>
      <c r="E137" s="153"/>
      <c r="F137" s="153"/>
      <c r="G137" s="153"/>
      <c r="H137" s="153"/>
      <c r="I137" s="153"/>
      <c r="J137" s="153"/>
      <c r="K137" s="153"/>
      <c r="L137" s="153"/>
      <c r="M137" s="153"/>
      <c r="N137" s="153"/>
      <c r="O137" s="153"/>
      <c r="P137" s="153"/>
      <c r="Q137" s="153"/>
      <c r="R137" s="153"/>
      <c r="S137" s="153"/>
      <c r="T137" s="153"/>
      <c r="U137" s="153"/>
    </row>
    <row r="138" spans="2:21" ht="15.75" hidden="1" x14ac:dyDescent="0.25">
      <c r="B138" s="684"/>
      <c r="C138" s="153"/>
      <c r="D138" s="153"/>
      <c r="E138" s="153"/>
      <c r="F138" s="153"/>
      <c r="G138" s="153"/>
      <c r="H138" s="153"/>
      <c r="I138" s="153"/>
      <c r="J138" s="153"/>
      <c r="K138" s="153"/>
      <c r="L138" s="153"/>
      <c r="M138" s="153"/>
      <c r="N138" s="153"/>
      <c r="O138" s="153"/>
      <c r="P138" s="153"/>
      <c r="Q138" s="153"/>
      <c r="R138" s="153"/>
      <c r="S138" s="153"/>
      <c r="T138" s="153"/>
      <c r="U138" s="153"/>
    </row>
    <row r="139" spans="2:21" ht="15.75" hidden="1" x14ac:dyDescent="0.25">
      <c r="B139" s="684"/>
      <c r="C139" s="153"/>
      <c r="D139" s="153"/>
      <c r="E139" s="153"/>
      <c r="F139" s="153"/>
      <c r="G139" s="153"/>
      <c r="H139" s="153"/>
      <c r="I139" s="153"/>
      <c r="J139" s="153"/>
      <c r="K139" s="153"/>
      <c r="L139" s="153"/>
      <c r="M139" s="153"/>
      <c r="N139" s="153"/>
      <c r="O139" s="153"/>
      <c r="P139" s="153"/>
      <c r="Q139" s="153"/>
      <c r="R139" s="153"/>
      <c r="S139" s="153"/>
      <c r="T139" s="153"/>
      <c r="U139" s="153"/>
    </row>
    <row r="140" spans="2:21" ht="15.75" hidden="1" x14ac:dyDescent="0.25">
      <c r="B140" s="684"/>
      <c r="C140" s="153"/>
      <c r="D140" s="153"/>
      <c r="E140" s="153"/>
      <c r="F140" s="153"/>
      <c r="G140" s="153"/>
      <c r="H140" s="153"/>
      <c r="I140" s="153"/>
      <c r="J140" s="153"/>
      <c r="K140" s="153"/>
      <c r="L140" s="153"/>
      <c r="M140" s="153"/>
      <c r="N140" s="153"/>
      <c r="O140" s="153"/>
      <c r="P140" s="153"/>
      <c r="Q140" s="153"/>
      <c r="R140" s="153"/>
      <c r="S140" s="153"/>
      <c r="T140" s="153"/>
      <c r="U140" s="153"/>
    </row>
    <row r="141" spans="2:21" ht="15.75" hidden="1" x14ac:dyDescent="0.25">
      <c r="B141" s="684"/>
      <c r="C141" s="153"/>
      <c r="D141" s="153"/>
      <c r="E141" s="153"/>
      <c r="F141" s="153"/>
      <c r="G141" s="153"/>
      <c r="H141" s="153"/>
      <c r="I141" s="153"/>
      <c r="J141" s="153"/>
      <c r="K141" s="153"/>
      <c r="L141" s="153"/>
      <c r="M141" s="153"/>
      <c r="N141" s="153"/>
      <c r="O141" s="153"/>
      <c r="P141" s="153"/>
      <c r="Q141" s="153"/>
      <c r="R141" s="153"/>
      <c r="S141" s="153"/>
      <c r="T141" s="153"/>
      <c r="U141" s="153"/>
    </row>
    <row r="142" spans="2:21" ht="15.75" hidden="1" x14ac:dyDescent="0.25">
      <c r="B142" s="684"/>
      <c r="C142" s="153"/>
      <c r="D142" s="153"/>
      <c r="E142" s="153"/>
      <c r="F142" s="153"/>
      <c r="G142" s="153"/>
      <c r="H142" s="153"/>
      <c r="I142" s="153"/>
      <c r="J142" s="153"/>
      <c r="K142" s="153"/>
      <c r="L142" s="153"/>
      <c r="M142" s="153"/>
      <c r="N142" s="153"/>
      <c r="O142" s="153"/>
      <c r="P142" s="153"/>
      <c r="Q142" s="153"/>
      <c r="R142" s="153"/>
      <c r="S142" s="153"/>
      <c r="T142" s="153"/>
      <c r="U142" s="153"/>
    </row>
    <row r="143" spans="2:21" ht="15.75" hidden="1" x14ac:dyDescent="0.25">
      <c r="B143" s="684"/>
      <c r="C143" s="153"/>
      <c r="D143" s="153"/>
      <c r="E143" s="153"/>
      <c r="F143" s="153"/>
      <c r="G143" s="153"/>
      <c r="H143" s="153"/>
      <c r="I143" s="153"/>
      <c r="J143" s="153"/>
      <c r="K143" s="153"/>
      <c r="L143" s="153"/>
      <c r="M143" s="153"/>
      <c r="N143" s="153"/>
      <c r="O143" s="153"/>
      <c r="P143" s="153"/>
      <c r="Q143" s="153"/>
      <c r="R143" s="153"/>
      <c r="S143" s="153"/>
      <c r="T143" s="153"/>
      <c r="U143" s="153"/>
    </row>
    <row r="144" spans="2:21" ht="15.75" hidden="1" x14ac:dyDescent="0.25">
      <c r="B144" s="684"/>
      <c r="C144" s="153"/>
      <c r="D144" s="153"/>
      <c r="E144" s="153"/>
      <c r="F144" s="153"/>
      <c r="G144" s="153"/>
      <c r="H144" s="153"/>
      <c r="I144" s="153"/>
      <c r="J144" s="153"/>
      <c r="K144" s="153"/>
      <c r="L144" s="153"/>
      <c r="M144" s="153"/>
      <c r="N144" s="153"/>
      <c r="O144" s="153"/>
      <c r="P144" s="153"/>
      <c r="Q144" s="153"/>
      <c r="R144" s="153"/>
      <c r="S144" s="153"/>
      <c r="T144" s="153"/>
      <c r="U144" s="153"/>
    </row>
    <row r="145" spans="2:21" ht="15.75" hidden="1" x14ac:dyDescent="0.25">
      <c r="B145" s="684"/>
      <c r="C145" s="153"/>
      <c r="D145" s="153"/>
      <c r="E145" s="153"/>
      <c r="F145" s="153"/>
      <c r="G145" s="153"/>
      <c r="H145" s="153"/>
      <c r="I145" s="153"/>
      <c r="J145" s="153"/>
      <c r="K145" s="153"/>
      <c r="L145" s="153"/>
      <c r="M145" s="153"/>
      <c r="N145" s="153"/>
      <c r="O145" s="153"/>
      <c r="P145" s="153"/>
      <c r="Q145" s="153"/>
      <c r="R145" s="153"/>
      <c r="S145" s="153"/>
      <c r="T145" s="153"/>
      <c r="U145" s="153"/>
    </row>
    <row r="146" spans="2:21" ht="15.75" hidden="1" x14ac:dyDescent="0.25">
      <c r="B146" s="684"/>
      <c r="C146" s="153"/>
      <c r="D146" s="153"/>
      <c r="E146" s="153"/>
      <c r="F146" s="153"/>
      <c r="G146" s="153"/>
      <c r="H146" s="153"/>
      <c r="I146" s="153"/>
      <c r="J146" s="153"/>
      <c r="K146" s="153"/>
      <c r="L146" s="153"/>
      <c r="M146" s="153"/>
      <c r="N146" s="153"/>
      <c r="O146" s="153"/>
      <c r="P146" s="153"/>
      <c r="Q146" s="153"/>
      <c r="R146" s="153"/>
      <c r="S146" s="153"/>
      <c r="T146" s="153"/>
      <c r="U146" s="153"/>
    </row>
    <row r="147" spans="2:21" ht="15.75" hidden="1" x14ac:dyDescent="0.25">
      <c r="B147" s="684"/>
      <c r="C147" s="153"/>
      <c r="D147" s="153"/>
      <c r="E147" s="153"/>
      <c r="F147" s="153"/>
      <c r="G147" s="153"/>
      <c r="H147" s="153"/>
      <c r="I147" s="153"/>
      <c r="J147" s="153"/>
      <c r="K147" s="153"/>
      <c r="L147" s="153"/>
      <c r="M147" s="153"/>
      <c r="N147" s="153"/>
      <c r="O147" s="153"/>
      <c r="P147" s="153"/>
      <c r="Q147" s="153"/>
      <c r="R147" s="153"/>
      <c r="S147" s="153"/>
      <c r="T147" s="153"/>
      <c r="U147" s="153"/>
    </row>
    <row r="148" spans="2:21" ht="15.75" hidden="1" x14ac:dyDescent="0.25">
      <c r="B148" s="684"/>
      <c r="C148" s="153"/>
      <c r="D148" s="153"/>
      <c r="E148" s="153"/>
      <c r="F148" s="153"/>
      <c r="G148" s="153"/>
      <c r="H148" s="153"/>
      <c r="I148" s="153"/>
      <c r="J148" s="153"/>
      <c r="K148" s="153"/>
      <c r="L148" s="153"/>
      <c r="M148" s="153"/>
      <c r="N148" s="153"/>
      <c r="O148" s="153"/>
      <c r="P148" s="153"/>
      <c r="Q148" s="153"/>
      <c r="R148" s="153"/>
      <c r="S148" s="153"/>
      <c r="T148" s="153"/>
      <c r="U148" s="153"/>
    </row>
    <row r="149" spans="2:21" ht="15.75" hidden="1" x14ac:dyDescent="0.25">
      <c r="B149" s="684"/>
      <c r="C149" s="153"/>
      <c r="D149" s="153"/>
      <c r="E149" s="153"/>
      <c r="F149" s="153"/>
      <c r="G149" s="153"/>
      <c r="H149" s="153"/>
      <c r="I149" s="153"/>
      <c r="J149" s="153"/>
      <c r="K149" s="153"/>
      <c r="L149" s="153"/>
      <c r="M149" s="153"/>
      <c r="N149" s="153"/>
      <c r="O149" s="153"/>
      <c r="P149" s="153"/>
      <c r="Q149" s="153"/>
      <c r="R149" s="153"/>
      <c r="S149" s="153"/>
      <c r="T149" s="153"/>
      <c r="U149" s="153"/>
    </row>
    <row r="150" spans="2:21" ht="15.75" hidden="1" x14ac:dyDescent="0.25">
      <c r="B150" s="684"/>
      <c r="C150" s="153"/>
      <c r="D150" s="153"/>
      <c r="E150" s="153"/>
      <c r="F150" s="153"/>
      <c r="G150" s="153"/>
      <c r="H150" s="153"/>
      <c r="I150" s="153"/>
      <c r="J150" s="153"/>
      <c r="K150" s="153"/>
      <c r="L150" s="153"/>
      <c r="M150" s="153"/>
      <c r="N150" s="153"/>
      <c r="O150" s="153"/>
      <c r="P150" s="153"/>
      <c r="Q150" s="153"/>
      <c r="R150" s="153"/>
      <c r="S150" s="153"/>
      <c r="T150" s="153"/>
      <c r="U150" s="153"/>
    </row>
    <row r="151" spans="2:21" ht="15.75" hidden="1" x14ac:dyDescent="0.25">
      <c r="B151" s="684"/>
      <c r="C151" s="153"/>
      <c r="D151" s="153"/>
      <c r="E151" s="153"/>
      <c r="F151" s="153"/>
      <c r="G151" s="153"/>
      <c r="H151" s="153"/>
      <c r="I151" s="153"/>
      <c r="J151" s="153"/>
      <c r="K151" s="153"/>
      <c r="L151" s="153"/>
      <c r="M151" s="153"/>
      <c r="N151" s="153"/>
      <c r="O151" s="153"/>
      <c r="P151" s="153"/>
      <c r="Q151" s="153"/>
      <c r="R151" s="153"/>
      <c r="S151" s="153"/>
      <c r="T151" s="153"/>
      <c r="U151" s="153"/>
    </row>
    <row r="152" spans="2:21" ht="15.75" hidden="1" x14ac:dyDescent="0.25">
      <c r="B152" s="684"/>
      <c r="C152" s="153"/>
      <c r="D152" s="153"/>
      <c r="E152" s="153"/>
      <c r="F152" s="153"/>
      <c r="G152" s="153"/>
      <c r="H152" s="153"/>
      <c r="I152" s="153"/>
      <c r="J152" s="153"/>
      <c r="K152" s="153"/>
      <c r="L152" s="153"/>
      <c r="M152" s="153"/>
      <c r="N152" s="153"/>
      <c r="O152" s="153"/>
      <c r="P152" s="153"/>
      <c r="Q152" s="153"/>
      <c r="R152" s="153"/>
      <c r="S152" s="153"/>
      <c r="T152" s="153"/>
      <c r="U152" s="153"/>
    </row>
    <row r="153" spans="2:21" ht="15.75" hidden="1" x14ac:dyDescent="0.25">
      <c r="B153" s="684"/>
      <c r="C153" s="153"/>
      <c r="D153" s="153"/>
      <c r="E153" s="153"/>
      <c r="F153" s="153"/>
      <c r="G153" s="153"/>
      <c r="H153" s="153"/>
      <c r="I153" s="153"/>
      <c r="J153" s="153"/>
      <c r="K153" s="153"/>
      <c r="L153" s="153"/>
      <c r="M153" s="153"/>
      <c r="N153" s="153"/>
      <c r="O153" s="153"/>
      <c r="P153" s="153"/>
      <c r="Q153" s="153"/>
      <c r="R153" s="153"/>
      <c r="S153" s="153"/>
      <c r="T153" s="153"/>
      <c r="U153" s="153"/>
    </row>
    <row r="154" spans="2:21" ht="15.75" hidden="1" x14ac:dyDescent="0.25">
      <c r="B154" s="684"/>
      <c r="C154" s="153"/>
      <c r="D154" s="153"/>
      <c r="E154" s="153"/>
      <c r="F154" s="153"/>
      <c r="G154" s="153"/>
      <c r="H154" s="153"/>
      <c r="I154" s="153"/>
      <c r="J154" s="153"/>
      <c r="K154" s="153"/>
      <c r="L154" s="153"/>
      <c r="M154" s="153"/>
      <c r="N154" s="153"/>
      <c r="O154" s="153"/>
      <c r="P154" s="153"/>
      <c r="Q154" s="153"/>
      <c r="R154" s="153"/>
      <c r="S154" s="153"/>
      <c r="T154" s="153"/>
      <c r="U154" s="153"/>
    </row>
    <row r="155" spans="2:21" ht="15.75" hidden="1" x14ac:dyDescent="0.25">
      <c r="B155" s="684"/>
      <c r="C155" s="153"/>
      <c r="D155" s="153"/>
      <c r="E155" s="153"/>
      <c r="F155" s="153"/>
      <c r="G155" s="153"/>
      <c r="H155" s="153"/>
      <c r="I155" s="153"/>
      <c r="J155" s="153"/>
      <c r="K155" s="153"/>
      <c r="L155" s="153"/>
      <c r="M155" s="153"/>
      <c r="N155" s="153"/>
      <c r="O155" s="153"/>
      <c r="P155" s="153"/>
      <c r="Q155" s="153"/>
      <c r="R155" s="153"/>
      <c r="S155" s="153"/>
      <c r="T155" s="153"/>
      <c r="U155" s="153"/>
    </row>
    <row r="156" spans="2:21" ht="15.75" hidden="1" x14ac:dyDescent="0.25">
      <c r="B156" s="684"/>
      <c r="C156" s="153"/>
      <c r="D156" s="153"/>
      <c r="E156" s="153"/>
      <c r="F156" s="153"/>
      <c r="G156" s="153"/>
      <c r="H156" s="153"/>
      <c r="I156" s="153"/>
      <c r="J156" s="153"/>
      <c r="K156" s="153"/>
      <c r="L156" s="153"/>
      <c r="M156" s="153"/>
      <c r="N156" s="153"/>
      <c r="O156" s="153"/>
      <c r="P156" s="153"/>
      <c r="Q156" s="153"/>
      <c r="R156" s="153"/>
      <c r="S156" s="153"/>
      <c r="T156" s="153"/>
      <c r="U156" s="153"/>
    </row>
    <row r="157" spans="2:21" ht="15.75" hidden="1" x14ac:dyDescent="0.25">
      <c r="B157" s="684"/>
      <c r="C157" s="153"/>
      <c r="D157" s="153"/>
      <c r="E157" s="153"/>
      <c r="F157" s="153"/>
      <c r="G157" s="153"/>
      <c r="H157" s="153"/>
      <c r="I157" s="153"/>
      <c r="J157" s="153"/>
      <c r="K157" s="153"/>
      <c r="L157" s="153"/>
      <c r="M157" s="153"/>
      <c r="N157" s="153"/>
      <c r="O157" s="153"/>
      <c r="P157" s="153"/>
      <c r="Q157" s="153"/>
      <c r="R157" s="153"/>
      <c r="S157" s="153"/>
      <c r="T157" s="153"/>
      <c r="U157" s="153"/>
    </row>
    <row r="158" spans="2:21" ht="15.75" hidden="1" x14ac:dyDescent="0.25">
      <c r="B158" s="684"/>
      <c r="C158" s="153"/>
      <c r="D158" s="153"/>
      <c r="E158" s="153"/>
      <c r="F158" s="153"/>
      <c r="G158" s="153"/>
      <c r="H158" s="153"/>
      <c r="I158" s="153"/>
      <c r="J158" s="153"/>
      <c r="K158" s="153"/>
      <c r="L158" s="153"/>
      <c r="M158" s="153"/>
      <c r="N158" s="153"/>
      <c r="O158" s="153"/>
      <c r="P158" s="153"/>
      <c r="Q158" s="153"/>
      <c r="R158" s="153"/>
      <c r="S158" s="153"/>
      <c r="T158" s="153"/>
      <c r="U158" s="153"/>
    </row>
    <row r="159" spans="2:21" ht="15.75" hidden="1" x14ac:dyDescent="0.25">
      <c r="B159" s="684"/>
      <c r="C159" s="153"/>
      <c r="D159" s="153"/>
      <c r="E159" s="153"/>
      <c r="F159" s="153"/>
      <c r="G159" s="153"/>
      <c r="H159" s="153"/>
      <c r="I159" s="153"/>
      <c r="J159" s="153"/>
      <c r="K159" s="153"/>
      <c r="L159" s="153"/>
      <c r="M159" s="153"/>
      <c r="N159" s="153"/>
      <c r="O159" s="153"/>
      <c r="P159" s="153"/>
      <c r="Q159" s="153"/>
      <c r="R159" s="153"/>
      <c r="S159" s="153"/>
      <c r="T159" s="153"/>
      <c r="U159" s="153"/>
    </row>
    <row r="160" spans="2:21" ht="15.75" hidden="1" x14ac:dyDescent="0.25">
      <c r="B160" s="684"/>
      <c r="C160" s="153"/>
      <c r="D160" s="153"/>
      <c r="E160" s="153"/>
      <c r="F160" s="153"/>
      <c r="G160" s="153"/>
      <c r="H160" s="153"/>
      <c r="I160" s="153"/>
      <c r="J160" s="153"/>
      <c r="K160" s="153"/>
      <c r="L160" s="153"/>
      <c r="M160" s="153"/>
      <c r="N160" s="153"/>
      <c r="O160" s="153"/>
      <c r="P160" s="153"/>
      <c r="Q160" s="153"/>
      <c r="R160" s="153"/>
      <c r="S160" s="153"/>
      <c r="T160" s="153"/>
      <c r="U160" s="153"/>
    </row>
    <row r="161" spans="2:21" ht="15.75" hidden="1" x14ac:dyDescent="0.25">
      <c r="B161" s="684"/>
      <c r="C161" s="153"/>
      <c r="D161" s="153"/>
      <c r="E161" s="153"/>
      <c r="F161" s="153"/>
      <c r="G161" s="153"/>
      <c r="H161" s="153"/>
      <c r="I161" s="153"/>
      <c r="J161" s="153"/>
      <c r="K161" s="153"/>
      <c r="L161" s="153"/>
      <c r="M161" s="153"/>
      <c r="N161" s="153"/>
      <c r="O161" s="153"/>
      <c r="P161" s="153"/>
      <c r="Q161" s="153"/>
      <c r="R161" s="153"/>
      <c r="S161" s="153"/>
      <c r="T161" s="153"/>
      <c r="U161" s="153"/>
    </row>
    <row r="162" spans="2:21" ht="15.75" hidden="1" x14ac:dyDescent="0.25">
      <c r="B162" s="684"/>
      <c r="C162" s="153"/>
      <c r="D162" s="153"/>
      <c r="E162" s="153"/>
      <c r="F162" s="153"/>
      <c r="G162" s="153"/>
      <c r="H162" s="153"/>
      <c r="I162" s="153"/>
      <c r="J162" s="153"/>
      <c r="K162" s="153"/>
      <c r="L162" s="153"/>
      <c r="M162" s="153"/>
      <c r="N162" s="153"/>
      <c r="O162" s="153"/>
      <c r="P162" s="153"/>
      <c r="Q162" s="153"/>
      <c r="R162" s="153"/>
      <c r="S162" s="153"/>
      <c r="T162" s="153"/>
      <c r="U162" s="153"/>
    </row>
    <row r="163" spans="2:21" ht="15.75" hidden="1" x14ac:dyDescent="0.25">
      <c r="B163" s="684"/>
      <c r="C163" s="153"/>
      <c r="D163" s="153"/>
      <c r="E163" s="153"/>
      <c r="F163" s="153"/>
      <c r="G163" s="153"/>
      <c r="H163" s="153"/>
      <c r="I163" s="153"/>
      <c r="J163" s="153"/>
      <c r="K163" s="153"/>
      <c r="L163" s="153"/>
      <c r="M163" s="153"/>
      <c r="N163" s="153"/>
      <c r="O163" s="153"/>
      <c r="P163" s="153"/>
      <c r="Q163" s="153"/>
      <c r="R163" s="153"/>
      <c r="S163" s="153"/>
      <c r="T163" s="153"/>
      <c r="U163" s="153"/>
    </row>
    <row r="164" spans="2:21" ht="15.75" hidden="1" x14ac:dyDescent="0.25">
      <c r="B164" s="684"/>
      <c r="C164" s="153"/>
      <c r="D164" s="153"/>
      <c r="E164" s="153"/>
      <c r="F164" s="153"/>
      <c r="G164" s="153"/>
      <c r="H164" s="153"/>
      <c r="I164" s="153"/>
      <c r="J164" s="153"/>
      <c r="K164" s="153"/>
      <c r="L164" s="153"/>
      <c r="M164" s="153"/>
      <c r="N164" s="153"/>
      <c r="O164" s="153"/>
      <c r="P164" s="153"/>
      <c r="Q164" s="153"/>
      <c r="R164" s="153"/>
      <c r="S164" s="153"/>
      <c r="T164" s="153"/>
      <c r="U164" s="153"/>
    </row>
    <row r="165" spans="2:21" ht="15.75" hidden="1" x14ac:dyDescent="0.25">
      <c r="B165" s="684"/>
      <c r="C165" s="153"/>
      <c r="D165" s="153"/>
      <c r="E165" s="153"/>
      <c r="F165" s="153"/>
      <c r="G165" s="153"/>
      <c r="H165" s="153"/>
      <c r="I165" s="153"/>
      <c r="J165" s="153"/>
      <c r="K165" s="153"/>
      <c r="L165" s="153"/>
      <c r="M165" s="153"/>
      <c r="N165" s="153"/>
      <c r="O165" s="153"/>
      <c r="P165" s="153"/>
      <c r="Q165" s="153"/>
      <c r="R165" s="153"/>
      <c r="S165" s="153"/>
      <c r="T165" s="153"/>
      <c r="U165" s="153"/>
    </row>
    <row r="166" spans="2:21" ht="15.75" hidden="1" x14ac:dyDescent="0.25">
      <c r="B166" s="684"/>
      <c r="C166" s="153"/>
      <c r="D166" s="153"/>
      <c r="E166" s="153"/>
      <c r="F166" s="153"/>
      <c r="G166" s="153"/>
      <c r="H166" s="153"/>
      <c r="I166" s="153"/>
      <c r="J166" s="153"/>
      <c r="K166" s="153"/>
      <c r="L166" s="153"/>
      <c r="M166" s="153"/>
      <c r="N166" s="153"/>
      <c r="O166" s="153"/>
      <c r="P166" s="153"/>
      <c r="Q166" s="153"/>
      <c r="R166" s="153"/>
      <c r="S166" s="153"/>
      <c r="T166" s="153"/>
      <c r="U166" s="153"/>
    </row>
    <row r="167" spans="2:21" ht="15.75" hidden="1" x14ac:dyDescent="0.25">
      <c r="B167" s="684"/>
      <c r="C167" s="153"/>
      <c r="D167" s="153"/>
      <c r="E167" s="153"/>
      <c r="F167" s="153"/>
      <c r="G167" s="153"/>
      <c r="H167" s="153"/>
      <c r="I167" s="153"/>
      <c r="J167" s="153"/>
      <c r="K167" s="153"/>
      <c r="L167" s="153"/>
      <c r="M167" s="153"/>
      <c r="N167" s="153"/>
      <c r="O167" s="153"/>
      <c r="P167" s="153"/>
      <c r="Q167" s="153"/>
      <c r="R167" s="153"/>
      <c r="S167" s="153"/>
      <c r="T167" s="153"/>
      <c r="U167" s="153"/>
    </row>
    <row r="168" spans="2:21" ht="15.75" hidden="1" x14ac:dyDescent="0.25">
      <c r="B168" s="684"/>
      <c r="C168" s="153"/>
      <c r="D168" s="153"/>
      <c r="E168" s="153"/>
      <c r="F168" s="153"/>
      <c r="G168" s="153"/>
      <c r="H168" s="153"/>
      <c r="I168" s="153"/>
      <c r="J168" s="153"/>
      <c r="K168" s="153"/>
      <c r="L168" s="153"/>
      <c r="M168" s="153"/>
      <c r="N168" s="153"/>
      <c r="O168" s="153"/>
      <c r="P168" s="153"/>
      <c r="Q168" s="153"/>
      <c r="R168" s="153"/>
      <c r="S168" s="153"/>
      <c r="T168" s="153"/>
      <c r="U168" s="153"/>
    </row>
    <row r="169" spans="2:21" ht="15.75" hidden="1" x14ac:dyDescent="0.25">
      <c r="B169" s="684"/>
      <c r="C169" s="153"/>
      <c r="D169" s="153"/>
      <c r="E169" s="153"/>
      <c r="F169" s="153"/>
      <c r="G169" s="153"/>
      <c r="H169" s="153"/>
      <c r="I169" s="153"/>
      <c r="J169" s="153"/>
      <c r="K169" s="153"/>
      <c r="L169" s="153"/>
      <c r="M169" s="153"/>
      <c r="N169" s="153"/>
      <c r="O169" s="153"/>
      <c r="P169" s="153"/>
      <c r="Q169" s="153"/>
      <c r="R169" s="153"/>
      <c r="S169" s="153"/>
      <c r="T169" s="153"/>
      <c r="U169" s="153"/>
    </row>
    <row r="170" spans="2:21" ht="15.75" hidden="1" x14ac:dyDescent="0.25">
      <c r="B170" s="684"/>
      <c r="C170" s="153"/>
      <c r="D170" s="153"/>
      <c r="E170" s="153"/>
      <c r="F170" s="153"/>
      <c r="G170" s="153"/>
      <c r="H170" s="153"/>
      <c r="I170" s="153"/>
      <c r="J170" s="153"/>
      <c r="K170" s="153"/>
      <c r="L170" s="153"/>
      <c r="M170" s="153"/>
      <c r="N170" s="153"/>
      <c r="O170" s="153"/>
      <c r="P170" s="153"/>
      <c r="Q170" s="153"/>
      <c r="R170" s="153"/>
      <c r="S170" s="153"/>
      <c r="T170" s="153"/>
      <c r="U170" s="153"/>
    </row>
    <row r="171" spans="2:21" hidden="1" x14ac:dyDescent="0.25"/>
    <row r="172" spans="2:21" hidden="1" x14ac:dyDescent="0.25"/>
    <row r="173" spans="2:21" hidden="1" x14ac:dyDescent="0.25"/>
    <row r="174" spans="2:21" hidden="1" x14ac:dyDescent="0.25"/>
    <row r="175" spans="2:21" hidden="1" x14ac:dyDescent="0.25"/>
    <row r="176" spans="2:21" hidden="1" x14ac:dyDescent="0.25"/>
    <row r="177" hidden="1" x14ac:dyDescent="0.25"/>
    <row r="178" hidden="1" x14ac:dyDescent="0.25"/>
    <row r="179" hidden="1" x14ac:dyDescent="0.25"/>
    <row r="180" hidden="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sheetData>
  <sheetProtection algorithmName="SHA-512" hashValue="U7jN6e3fcYe2FZkQMwi6z2kwdvFUHaxu+SV8XiDvNXJj2gxCXaNsT99ksHMXMaZJl92v6eCeO3FlfCSkThJpqQ==" saltValue="day4WmBUxe3WM7IfXdgZAw==" spinCount="100000" sheet="1" objects="1" scenarios="1" formatRows="0"/>
  <mergeCells count="64">
    <mergeCell ref="C33:F33"/>
    <mergeCell ref="C32:F32"/>
    <mergeCell ref="C36:F36"/>
    <mergeCell ref="H36:P36"/>
    <mergeCell ref="A1:Q1"/>
    <mergeCell ref="A2:Q3"/>
    <mergeCell ref="C31:F31"/>
    <mergeCell ref="H31:P31"/>
    <mergeCell ref="C34:F34"/>
    <mergeCell ref="H34:P34"/>
    <mergeCell ref="C35:F35"/>
    <mergeCell ref="H35:P35"/>
    <mergeCell ref="C30:F30"/>
    <mergeCell ref="H30:P30"/>
    <mergeCell ref="C26:F26"/>
    <mergeCell ref="H25:P25"/>
    <mergeCell ref="C25:F25"/>
    <mergeCell ref="H27:P27"/>
    <mergeCell ref="C29:F29"/>
    <mergeCell ref="H29:P29"/>
    <mergeCell ref="C27:F27"/>
    <mergeCell ref="H26:P26"/>
    <mergeCell ref="C28:F28"/>
    <mergeCell ref="H28:P28"/>
    <mergeCell ref="H22:P22"/>
    <mergeCell ref="H23:P23"/>
    <mergeCell ref="H24:P24"/>
    <mergeCell ref="C22:F22"/>
    <mergeCell ref="C23:F23"/>
    <mergeCell ref="C24:F24"/>
    <mergeCell ref="C19:F19"/>
    <mergeCell ref="H19:P19"/>
    <mergeCell ref="C20:F20"/>
    <mergeCell ref="H20:P20"/>
    <mergeCell ref="C21:F21"/>
    <mergeCell ref="H21:P21"/>
    <mergeCell ref="C17:F17"/>
    <mergeCell ref="H17:P17"/>
    <mergeCell ref="C18:F18"/>
    <mergeCell ref="H18:P18"/>
    <mergeCell ref="C12:F12"/>
    <mergeCell ref="H12:P12"/>
    <mergeCell ref="C13:F13"/>
    <mergeCell ref="H13:P13"/>
    <mergeCell ref="C14:F14"/>
    <mergeCell ref="H14:P14"/>
    <mergeCell ref="C15:F15"/>
    <mergeCell ref="H15:P15"/>
    <mergeCell ref="C16:F16"/>
    <mergeCell ref="H16:P16"/>
    <mergeCell ref="C8:F8"/>
    <mergeCell ref="H8:P8"/>
    <mergeCell ref="C9:F9"/>
    <mergeCell ref="H9:P9"/>
    <mergeCell ref="C11:F11"/>
    <mergeCell ref="H11:P11"/>
    <mergeCell ref="C10:F10"/>
    <mergeCell ref="H10:P10"/>
    <mergeCell ref="C5:F5"/>
    <mergeCell ref="H5:P5"/>
    <mergeCell ref="C6:F6"/>
    <mergeCell ref="H6:P6"/>
    <mergeCell ref="C7:F7"/>
    <mergeCell ref="H7:P7"/>
  </mergeCells>
  <phoneticPr fontId="192" type="noConversion"/>
  <hyperlinks>
    <hyperlink ref="C6" location="'E-1 Passive Design'!A1" tooltip="E-1 Passive design" display="E-1 Passive design" xr:uid="{00000000-0004-0000-3600-000000000000}"/>
    <hyperlink ref="C11:D11" location="'W-1 Water Efficient Fixtures'!A1" tooltip="W-1 Water Efficient Fixtures" display="W-1 Water Efficient Fixtures" xr:uid="{00000000-0004-0000-3600-000001000000}"/>
    <hyperlink ref="E11:F11" location="'W-1 Water Efficient Fixtures'!A1" tooltip="W-1 Water Efficient Fixtures" display="W-1 Water Efficient Fixtures" xr:uid="{00000000-0004-0000-3600-000002000000}"/>
    <hyperlink ref="C13:D13" location="'M-1 Building Structure'!A1" tooltip="M-1 Building Structure" display="M-1 Building Structure" xr:uid="{00000000-0004-0000-3600-000003000000}"/>
    <hyperlink ref="E13:F13" location="'M-1 Building Structure'!A1" tooltip="M-1 Building Structure" display="M-1 Building Structure" xr:uid="{00000000-0004-0000-3600-000004000000}"/>
    <hyperlink ref="C17" location="'H-1 Fresh Air Supply'!A1" tooltip="H-1 Fresh Air Supply" display="H-1 Fresh Air Supply" xr:uid="{00000000-0004-0000-3600-000005000000}"/>
    <hyperlink ref="E17" location="'H-1 Fresh Air Supply'!A1" tooltip="H-1 Fresh Air Supply" display="H-1 Fresh Air Supply" xr:uid="{00000000-0004-0000-3600-000006000000}"/>
    <hyperlink ref="C29:D29" location="'LE-4 Heat Island Effect'!A1" tooltip="LE-4 Heat Island Effect" display="LE-4 Heat Island Effect" xr:uid="{00000000-0004-0000-3600-000007000000}"/>
    <hyperlink ref="E29:F29" location="'LE-4 Heat Island Effect'!A1" tooltip="LE-4 Heat Island Effect" display="LE-4 Heat Island Effect" xr:uid="{00000000-0004-0000-3600-000008000000}"/>
    <hyperlink ref="C25:D25" location="'LE-1 Site Selection'!A1" tooltip="LE-1 Site Selection" display="LE-1 Site Selection" xr:uid="{00000000-0004-0000-3600-000009000000}"/>
    <hyperlink ref="C30" location="'CM-2 Construction Management'!A1" tooltip="CM-2 Construction Management" display="CM-2 Construction Management" xr:uid="{00000000-0004-0000-3600-00000A000000}"/>
    <hyperlink ref="E30" location="'CM-2 Construction Management'!A1" tooltip="CM-2 Construction Management" display="CM-2 Construction Management" xr:uid="{00000000-0004-0000-3600-00000B000000}"/>
    <hyperlink ref="C31" location="'CM-3 Operational Management'!A1" tooltip="CM-3 Operational Management" display="CM-3 Operational Management" xr:uid="{00000000-0004-0000-3600-00000C000000}"/>
    <hyperlink ref="E31" location="'CM-3 Operational Management'!A1" tooltip="CM-3 Operational Management" display="CM-3 Operational Management" xr:uid="{00000000-0004-0000-3600-00000D000000}"/>
    <hyperlink ref="C35:F35" location="'EP-1 Enhanced Performance '!B3" tooltip="EP-1 Enhanced Performance " display="Enhanced Performance " xr:uid="{00000000-0004-0000-3600-00000E000000}"/>
    <hyperlink ref="C36:F36" location="'EP-2 Innovative Solutions'!B3" tooltip="EP-2 Innovative Solutions" display="Innovative Solutions" xr:uid="{00000000-0004-0000-3600-00000F000000}"/>
    <hyperlink ref="C7" location="'E-4 Artificial Lighting'!A1" tooltip="E-4 Artificial Lighting" display="E-4 Artificial Lighting" xr:uid="{00000000-0004-0000-3600-000010000000}"/>
    <hyperlink ref="E7" location="'E-4 Artificial Lighting'!A1" tooltip="E-4 Artificial Lighting" display="E-4 Artificial Lighting" xr:uid="{00000000-0004-0000-3600-000011000000}"/>
    <hyperlink ref="C8" location="'E-6 Energy Efficient Appliances'!A1" tooltip="E-6 Energy Efficient Appliances" display="E-6 Energy Efficient Appliances" xr:uid="{00000000-0004-0000-3600-000012000000}"/>
    <hyperlink ref="E8" location="'E-6 Energy Efficient Appliances'!A1" tooltip="E-6 Energy Efficient Appliances" display="E-6 Energy Efficient Appliances" xr:uid="{00000000-0004-0000-3600-000013000000}"/>
    <hyperlink ref="C9" location="'E-7 Energy Monitors '!A1" tooltip="E-7 Energy Monitors " display="E-7 Energy Monitors " xr:uid="{00000000-0004-0000-3600-000014000000}"/>
    <hyperlink ref="E9" location="'E-7 Energy Monitors '!A1" tooltip="E-7 Energy Monitors " display="E-7 Energy Monitors " xr:uid="{00000000-0004-0000-3600-000015000000}"/>
    <hyperlink ref="C12:D12" location="'W-3 Drinking Water '!A1" tooltip="W-3 Drinking Water " display="W-3 Drinking Water " xr:uid="{00000000-0004-0000-3600-000016000000}"/>
    <hyperlink ref="E12:F12" location="'W-3 Drinking Water '!A1" tooltip="W-3 Drinking Water " display="W-3 Drinking Water " xr:uid="{00000000-0004-0000-3600-000017000000}"/>
    <hyperlink ref="C14:D14" location="'M-1 Building Structure'!A1" tooltip="M-1 Building Structure" display="M-1 Building Structure" xr:uid="{00000000-0004-0000-3600-000018000000}"/>
    <hyperlink ref="E14:F14" location="'M-1 Building Structure'!A1" tooltip="M-1 Building Structure" display="M-1 Building Structure" xr:uid="{00000000-0004-0000-3600-000019000000}"/>
    <hyperlink ref="C26:D26" location="'LE-1 Site Selection'!A1" tooltip="LE-1 Site Selection" display="LE-1 Site Selection" xr:uid="{00000000-0004-0000-3600-00001A000000}"/>
    <hyperlink ref="C27:D27" location="'LE-1 Site Selection'!A1" tooltip="LE-1 Site Selection" display="LE-1 Site Selection" xr:uid="{00000000-0004-0000-3600-00001B000000}"/>
    <hyperlink ref="C25:F25" location="'SE-1 Base building '!B3" tooltip="SE-1 Green base building" display="Green base building" xr:uid="{00000000-0004-0000-3600-00001C000000}"/>
    <hyperlink ref="C29:F29" location="'SE-BPC'!B3" tooltip="SE-BPC-1 Facilities and Amenities for Occupants" display="Facilities and Amenities for Occupants" xr:uid="{00000000-0004-0000-3600-00001D000000}"/>
    <hyperlink ref="C27:F27" location="'SE-3 Green Transportation '!B3" tooltip="SE-3 Green Transportation" display="Green Transportation" xr:uid="{00000000-0004-0000-3600-00001E000000}"/>
    <hyperlink ref="C26:F26" location="'SE-2 Tenancy lease'!B3" tooltip="SE-2 Tenancy Lease" display="Tenancy Lease" xr:uid="{00000000-0004-0000-3600-00001F000000}"/>
    <hyperlink ref="C32:D32" location="'CM BPC'!A1" tooltip="Best Practice Credits" display="Best Practice Credits" xr:uid="{00000000-0004-0000-3600-000020000000}"/>
    <hyperlink ref="E32:F32" location="'CM BPC'!A1" tooltip="Best Practice Credits" display="Best Practice Credits" xr:uid="{00000000-0004-0000-3600-000021000000}"/>
    <hyperlink ref="C30:F30" location="'Man-1 Construction Stage'!B3" tooltip="Man-1 Construction Stage" display="Construction Stage" xr:uid="{00000000-0004-0000-3600-000022000000}"/>
    <hyperlink ref="C31:F31" location="'Man-2 Commissioning'!B3" tooltip="Man-2 Commissioning" display="Commissioning" xr:uid="{00000000-0004-0000-3600-000023000000}"/>
    <hyperlink ref="C32:F32" location="'Man-3 Maintenance'!B3" tooltip="Man-3 Maintenance" display="Maintenance" xr:uid="{00000000-0004-0000-3600-000024000000}"/>
    <hyperlink ref="C17:F17" location="'H-1 Fresh Air Supply'!A1" tooltip="H-1 Fresh Air Supply" display="Fresh Air Supply" xr:uid="{00000000-0004-0000-3600-000025000000}"/>
    <hyperlink ref="C6:F6" location="'E-1 Space cooling'!A1" tooltip="E-1 Space cooling" display="Space cooling" xr:uid="{00000000-0004-0000-3600-000026000000}"/>
    <hyperlink ref="C7:F7" location="'E-2 Artificial Lighting'!A1" tooltip="E-2 Artificial Lighting" display="Artificial Lighting" xr:uid="{00000000-0004-0000-3600-000027000000}"/>
    <hyperlink ref="C8:F8" location="'E-3 Energy Efficient Appliances'!A1" tooltip="E-3 Energy Efficient Appliances" display="Energy Efficient Appliances" xr:uid="{00000000-0004-0000-3600-000028000000}"/>
    <hyperlink ref="C9:F9" location="'E-4 Energy Monitor'!B3" tooltip="E-4 Energy Monitoring" display="Energy Monitor" xr:uid="{00000000-0004-0000-3600-000029000000}"/>
    <hyperlink ref="C14:F14" location="'MR-2 Sustainable Furniture'!A1" tooltip="MR-2 Sustainable Furniture Products" display="Sustainable Furniture Products" xr:uid="{00000000-0004-0000-3600-00002A000000}"/>
    <hyperlink ref="C13:F13" location="'MR-1 Sustainable Materials'!B3" tooltip="MR-1 Sustainable Materials " display="Sustainable Materials " xr:uid="{00000000-0004-0000-3600-00002B000000}"/>
    <hyperlink ref="C12:F12" location="'W-2 Drinking Water '!A1" tooltip="W-2 Drinking Water " display="Drinking Water " xr:uid="{00000000-0004-0000-3600-00002C000000}"/>
    <hyperlink ref="C11:F11" location="'W-1 Water Efficient Fixtures'!B3" tooltip="W-1 Water Efficient Fixtures" display="Water Efficient Fixtures" xr:uid="{00000000-0004-0000-3600-00002D000000}"/>
    <hyperlink ref="C18" location="'H-3 Hazardous Materials'!A1" tooltip="H-3 Hazardous Materials" display="H-3 Hazardous Materials" xr:uid="{00000000-0004-0000-3600-00002E000000}"/>
    <hyperlink ref="E18" location="'H-3 Hazardous Materials'!A1" tooltip="H-3 Hazardous Materials" display="H-3 Hazardous Materials" xr:uid="{00000000-0004-0000-3600-00002F000000}"/>
    <hyperlink ref="C18:F18" location="'H-2 Low-VOC Emissions '!B3" tooltip="H-2 Low-VOC Emissions" display="Low-VOC Emissions" xr:uid="{00000000-0004-0000-3600-000030000000}"/>
    <hyperlink ref="C19" location="'H-4 Daylighting'!A1" tooltip="H-4 Daylighting" display="H-4 Daylighting" xr:uid="{00000000-0004-0000-3600-000031000000}"/>
    <hyperlink ref="E19" location="'H-4 Daylighting'!A1" tooltip="H-4 Daylighting" display="H-4 Daylighting" xr:uid="{00000000-0004-0000-3600-000032000000}"/>
    <hyperlink ref="C19:F19" location="'H-3 Interior Plants'!B3" tooltip="H-3 Interior Plants" display="Interior Plants" xr:uid="{00000000-0004-0000-3600-000033000000}"/>
    <hyperlink ref="C20" location="'H-4 Daylighting'!A1" tooltip="H-4 Daylighting" display="H-4 Daylighting" xr:uid="{00000000-0004-0000-3600-000034000000}"/>
    <hyperlink ref="C21" location="'H-7 Daylighting'!A1" tooltip="H-7 Daylighting" display="Daylighting" xr:uid="{00000000-0004-0000-3600-000035000000}"/>
    <hyperlink ref="C22" location="'H-8 External Views'!A1" tooltip="H-8 External Views" display="External Views" xr:uid="{00000000-0004-0000-3600-000036000000}"/>
    <hyperlink ref="E21" location="'H-4 Daylighting'!A1" tooltip="H-4 Daylighting" display="H-4 Daylighting" xr:uid="{00000000-0004-0000-3600-000037000000}"/>
    <hyperlink ref="E22" location="'H-10 Thermal Comfort'!A1" tooltip="H-10 Thermal Comfort" display="Thermal Comfort" xr:uid="{00000000-0004-0000-3600-000038000000}"/>
    <hyperlink ref="C21:F21" location="'H-5 Daylighting'!B3" tooltip="H-5 Daylighting" display="Daylighting" xr:uid="{00000000-0004-0000-3600-000039000000}"/>
    <hyperlink ref="C22:F22" location="'H-6 External Views'!B3" tooltip="H-6 External Views" display="External Views" xr:uid="{00000000-0004-0000-3600-00003A000000}"/>
    <hyperlink ref="C23" location="'H-4 Daylighting'!A1" tooltip="H-4 Daylighting" display="H-4 Daylighting" xr:uid="{00000000-0004-0000-3600-00003B000000}"/>
    <hyperlink ref="E23" location="'H-4 Daylighting'!A1" tooltip="H-4 Daylighting" display="H-4 Daylighting" xr:uid="{00000000-0004-0000-3600-00003C000000}"/>
    <hyperlink ref="C23:F23" location="'H-7 Thermal Comfort'!B3" tooltip="H-7 Thermal Comfort" display="Thermal Comfort" xr:uid="{00000000-0004-0000-3600-00003D000000}"/>
    <hyperlink ref="C24" location="'E-7 Energy Monitors '!A1" tooltip="E-7 Energy Monitors " display="E-7 Energy Monitors " xr:uid="{00000000-0004-0000-3600-00003E000000}"/>
    <hyperlink ref="E24" location="'E-7 Energy Monitors '!A1" tooltip="E-7 Energy Monitors " display="E-7 Energy Monitors " xr:uid="{00000000-0004-0000-3600-00003F000000}"/>
    <hyperlink ref="C24:F24" location="'H&amp;C BPC'!B3" tooltip="Best practice credits" display="Best practice credits" xr:uid="{00000000-0004-0000-3600-000040000000}"/>
    <hyperlink ref="C10" location="'E-7 Energy Monitors '!A1" tooltip="E-7 Energy Monitors " display="E-7 Energy Monitors " xr:uid="{00000000-0004-0000-3600-000041000000}"/>
    <hyperlink ref="E10" location="'E-7 Energy Monitors '!A1" tooltip="E-7 Energy Monitors " display="E-7 Energy Monitors " xr:uid="{00000000-0004-0000-3600-000042000000}"/>
    <hyperlink ref="C10:F10" location="'Energy BPC'!B3" tooltip="Best practice credits" display="Best practice credits" xr:uid="{00000000-0004-0000-3600-000043000000}"/>
    <hyperlink ref="C33:D33" location="'CM BPC'!A1" tooltip="Best Practice Credits" display="Best Practice Credits" xr:uid="{00000000-0004-0000-3600-000044000000}"/>
    <hyperlink ref="E33:F33" location="'CM BPC'!A1" tooltip="Best Practice Credits" display="Best Practice Credits" xr:uid="{00000000-0004-0000-3600-000045000000}"/>
    <hyperlink ref="C33:F33" location="'Man-4 Green Awareness '!B3" tooltip="Man-4 Green Awareness and Behaviour" display="Green Awareness and Behaviour" xr:uid="{00000000-0004-0000-3600-000046000000}"/>
    <hyperlink ref="C34" location="'E-7 Energy Monitors '!A1" tooltip="E-7 Energy Monitors " display="E-7 Energy Monitors " xr:uid="{00000000-0004-0000-3600-000047000000}"/>
    <hyperlink ref="E34" location="'E-7 Energy Monitors '!A1" tooltip="E-7 Energy Monitors " display="E-7 Energy Monitors " xr:uid="{00000000-0004-0000-3600-000048000000}"/>
    <hyperlink ref="C34:F34" location="'Man BPC'!B3" tooltip="Best practice credits" display="Best practice credits" xr:uid="{00000000-0004-0000-3600-000049000000}"/>
    <hyperlink ref="C20:F20" location="'H-4 Green Cleaning'!B3" tooltip="H-4 Green Cleaning" display="Green Cleaning" xr:uid="{00000000-0004-0000-3600-00004A000000}"/>
    <hyperlink ref="C15:D15" location="'M-1 Building Structure'!A1" tooltip="M-1 Building Structure" display="M-1 Building Structure" xr:uid="{7EF423D6-B5DD-4667-BA3F-969A38605170}"/>
    <hyperlink ref="C16:D16" location="'M-1 Building Structure'!A1" tooltip="M-1 Building Structure" display="M-1 Building Structure" xr:uid="{D782883B-35A2-4C40-8CAB-A7F415BB7E71}"/>
    <hyperlink ref="E15:F15" location="'M-1 Building Structure'!A1" tooltip="M-1 Building Structure" display="M-1 Building Structure" xr:uid="{DB1389B3-4A02-4DDD-B385-CA2D695551B0}"/>
    <hyperlink ref="E16:F16" location="'M-1 Building Structure'!A1" tooltip="M-1 Building Structure" display="M-1 Building Structure" xr:uid="{1733A226-5B8A-426E-8E28-29395DE3E141}"/>
    <hyperlink ref="C15:F15" location="'MR-3 Fit-out Waste'!B3" tooltip="MR-3 Fit-out Waste" display="Fit-out Waste" xr:uid="{6ECCA5BA-39EB-43CC-9BBA-55012ABAC679}"/>
    <hyperlink ref="C16:F16" location="'MR-4 Operation Waste Management'!B3" tooltip="MR-4 Operation Waste Management" display="Operation Waste Management" xr:uid="{C3386490-B0B9-49BD-B0E8-9177547B048C}"/>
    <hyperlink ref="C28:D28" location="'LE-1 Site Selection'!A1" tooltip="LE-1 Site Selection" display="LE-1 Site Selection" xr:uid="{137DAB6A-95CD-4F5E-BA3D-BF3BD21819A1}"/>
    <hyperlink ref="C28:F28" location="'SE-4 Refrigerants'!B3" tooltip="SE-4 Refrigerants" display="Refrigerants" xr:uid="{482212A0-955C-4884-BE9C-165F01CCB6E2}"/>
  </hyperlinks>
  <pageMargins left="0.7" right="0.7" top="0.75" bottom="0.75" header="0.3" footer="0.3"/>
  <pageSetup orientation="portrait" horizont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0">
    <tabColor rgb="FF984806"/>
  </sheetPr>
  <dimension ref="A1:Q494"/>
  <sheetViews>
    <sheetView showRowColHeaders="0" workbookViewId="0">
      <pane ySplit="2" topLeftCell="A3" activePane="bottomLeft" state="frozen"/>
      <selection pane="bottomLeft" sqref="A1:Q1"/>
    </sheetView>
  </sheetViews>
  <sheetFormatPr defaultColWidth="0" defaultRowHeight="15" customHeight="1" zeroHeight="1" x14ac:dyDescent="0.25"/>
  <cols>
    <col min="1" max="1" width="3.7109375" customWidth="1"/>
    <col min="2" max="2" width="12.42578125" customWidth="1"/>
    <col min="3" max="3" width="10.85546875" customWidth="1"/>
    <col min="4" max="4" width="9.140625" customWidth="1"/>
    <col min="5" max="5" width="10.28515625" customWidth="1"/>
    <col min="6" max="7" width="9.5703125" customWidth="1"/>
    <col min="8" max="8" width="9.7109375" customWidth="1"/>
    <col min="9" max="9" width="9.140625" customWidth="1"/>
    <col min="10" max="10" width="9.28515625" customWidth="1"/>
    <col min="11" max="17" width="9.140625" customWidth="1"/>
    <col min="18" max="16384" width="9.140625" hidden="1"/>
  </cols>
  <sheetData>
    <row r="1" spans="1:17" s="11" customFormat="1" ht="30" customHeight="1" x14ac:dyDescent="0.2">
      <c r="A1" s="1372" t="s">
        <v>839</v>
      </c>
      <c r="B1" s="1372"/>
      <c r="C1" s="1372"/>
      <c r="D1" s="1372"/>
      <c r="E1" s="1372"/>
      <c r="F1" s="1372"/>
      <c r="G1" s="1372"/>
      <c r="H1" s="1372"/>
      <c r="I1" s="1372"/>
      <c r="J1" s="1372"/>
      <c r="K1" s="1372"/>
      <c r="L1" s="1372"/>
      <c r="M1" s="1372"/>
      <c r="N1" s="1372"/>
      <c r="O1" s="1372"/>
      <c r="P1" s="1372"/>
      <c r="Q1" s="1372"/>
    </row>
    <row r="2" spans="1:17" s="11" customFormat="1" ht="27" customHeight="1" x14ac:dyDescent="0.2">
      <c r="A2" s="1077"/>
      <c r="B2" s="2552" t="s">
        <v>1789</v>
      </c>
      <c r="C2" s="2552"/>
      <c r="D2" s="2552"/>
      <c r="E2" s="1078"/>
      <c r="F2" s="2552" t="s">
        <v>1791</v>
      </c>
      <c r="G2" s="2552"/>
      <c r="H2" s="2552"/>
      <c r="I2" s="2552"/>
      <c r="J2" s="1078"/>
      <c r="K2" s="2552" t="s">
        <v>1792</v>
      </c>
      <c r="L2" s="2552"/>
      <c r="M2" s="2552"/>
      <c r="N2" s="2552"/>
      <c r="O2" s="1078"/>
      <c r="P2" s="1078"/>
      <c r="Q2" s="1078"/>
    </row>
    <row r="3" spans="1:17" s="11" customFormat="1" ht="16.5" customHeight="1" x14ac:dyDescent="0.2">
      <c r="A3" s="12"/>
      <c r="B3" s="12"/>
      <c r="C3" s="12"/>
      <c r="D3" s="13"/>
      <c r="E3" s="13"/>
      <c r="F3" s="13"/>
      <c r="G3" s="13"/>
      <c r="H3" s="13"/>
      <c r="I3" s="13"/>
      <c r="J3" s="13"/>
      <c r="K3" s="13"/>
      <c r="L3" s="13"/>
      <c r="M3" s="13"/>
      <c r="N3" s="13"/>
      <c r="O3" s="13"/>
      <c r="P3" s="13"/>
      <c r="Q3" s="13"/>
    </row>
    <row r="4" spans="1:17" s="11" customFormat="1" ht="24" customHeight="1" x14ac:dyDescent="0.2">
      <c r="A4" s="2553" t="s">
        <v>1790</v>
      </c>
      <c r="B4" s="2553"/>
      <c r="C4" s="2553"/>
      <c r="D4" s="2553"/>
      <c r="E4" s="2553"/>
      <c r="F4" s="2553"/>
      <c r="G4" s="2553"/>
      <c r="H4" s="2553"/>
      <c r="I4" s="2553"/>
      <c r="J4" s="2553"/>
      <c r="K4" s="2553"/>
      <c r="L4" s="2553"/>
      <c r="M4" s="2553"/>
      <c r="N4" s="2553"/>
      <c r="O4" s="2553"/>
      <c r="P4" s="2553"/>
      <c r="Q4" s="2553"/>
    </row>
    <row r="5" spans="1:17" s="11" customFormat="1" ht="12" customHeight="1" x14ac:dyDescent="0.2">
      <c r="A5" s="12"/>
      <c r="B5" s="12"/>
      <c r="C5" s="12"/>
      <c r="D5" s="12"/>
      <c r="E5" s="12"/>
      <c r="F5" s="12"/>
      <c r="G5" s="12"/>
      <c r="H5" s="12"/>
      <c r="I5" s="12"/>
      <c r="J5" s="12"/>
      <c r="K5" s="12"/>
      <c r="L5" s="12"/>
      <c r="M5" s="12"/>
      <c r="N5" s="12"/>
      <c r="O5" s="12"/>
      <c r="P5" s="12"/>
      <c r="Q5" s="12"/>
    </row>
    <row r="6" spans="1:17" s="11" customFormat="1" ht="15" customHeight="1" x14ac:dyDescent="0.2">
      <c r="A6" s="12"/>
      <c r="B6" s="1991" t="s">
        <v>1713</v>
      </c>
      <c r="C6" s="1991"/>
      <c r="D6" s="1991"/>
      <c r="E6" s="1991"/>
      <c r="F6" s="1991"/>
      <c r="G6" s="1991"/>
      <c r="H6" s="1991"/>
      <c r="I6" s="1991"/>
      <c r="J6" s="1991"/>
      <c r="K6" s="1991"/>
      <c r="L6" s="1991"/>
      <c r="M6" s="1991"/>
      <c r="N6" s="1991"/>
      <c r="O6" s="1991"/>
      <c r="P6" s="1991"/>
      <c r="Q6" s="12"/>
    </row>
    <row r="7" spans="1:17" s="11" customFormat="1" ht="12" customHeight="1" x14ac:dyDescent="0.2">
      <c r="A7" s="12"/>
      <c r="B7" s="12"/>
      <c r="C7" s="12"/>
      <c r="D7" s="12"/>
      <c r="E7" s="12"/>
      <c r="F7" s="12"/>
      <c r="G7" s="12"/>
      <c r="H7" s="12"/>
      <c r="I7" s="12"/>
      <c r="J7" s="12"/>
      <c r="K7" s="12"/>
      <c r="L7" s="12"/>
      <c r="M7" s="12"/>
      <c r="N7" s="12"/>
      <c r="O7" s="12"/>
      <c r="P7" s="12"/>
      <c r="Q7" s="12"/>
    </row>
    <row r="8" spans="1:17" s="585" customFormat="1" ht="30" customHeight="1" x14ac:dyDescent="0.25">
      <c r="A8" s="584"/>
      <c r="B8" s="1991" t="s">
        <v>1861</v>
      </c>
      <c r="C8" s="1991"/>
      <c r="D8" s="1991"/>
      <c r="E8" s="1991"/>
      <c r="F8" s="1991"/>
      <c r="G8" s="1991"/>
      <c r="H8" s="1991"/>
      <c r="I8" s="1991"/>
      <c r="J8" s="1991"/>
      <c r="K8" s="1991"/>
      <c r="L8" s="1991"/>
      <c r="M8" s="1991"/>
      <c r="N8" s="1991"/>
      <c r="O8" s="1991"/>
      <c r="P8" s="1991"/>
      <c r="Q8" s="584"/>
    </row>
    <row r="9" spans="1:17" s="11" customFormat="1" ht="12" customHeight="1" x14ac:dyDescent="0.2">
      <c r="A9" s="12"/>
      <c r="B9" s="12"/>
      <c r="C9" s="12"/>
      <c r="D9" s="12"/>
      <c r="E9" s="12"/>
      <c r="F9" s="12"/>
      <c r="G9" s="12"/>
      <c r="H9" s="12"/>
      <c r="I9" s="12"/>
      <c r="J9" s="12"/>
      <c r="K9" s="12"/>
      <c r="L9" s="12"/>
      <c r="M9" s="12"/>
      <c r="N9" s="12"/>
      <c r="O9" s="12"/>
      <c r="P9" s="12"/>
      <c r="Q9" s="12"/>
    </row>
    <row r="10" spans="1:17" s="587" customFormat="1" ht="42" customHeight="1" x14ac:dyDescent="0.2">
      <c r="A10" s="586"/>
      <c r="B10" s="1991" t="s">
        <v>1763</v>
      </c>
      <c r="C10" s="1991"/>
      <c r="D10" s="1991"/>
      <c r="E10" s="1991"/>
      <c r="F10" s="1991"/>
      <c r="G10" s="1991"/>
      <c r="H10" s="1991"/>
      <c r="I10" s="1991"/>
      <c r="J10" s="1991"/>
      <c r="K10" s="1991"/>
      <c r="L10" s="1991"/>
      <c r="M10" s="1991"/>
      <c r="N10" s="1991"/>
      <c r="O10" s="1991"/>
      <c r="P10" s="1991"/>
      <c r="Q10" s="586"/>
    </row>
    <row r="11" spans="1:17" s="587" customFormat="1" ht="12" customHeight="1" x14ac:dyDescent="0.2">
      <c r="A11" s="586"/>
      <c r="B11" s="629"/>
      <c r="C11" s="629"/>
      <c r="D11" s="629"/>
      <c r="E11" s="629"/>
      <c r="F11" s="629"/>
      <c r="G11" s="629"/>
      <c r="H11" s="629"/>
      <c r="I11" s="629"/>
      <c r="J11" s="629"/>
      <c r="K11" s="629"/>
      <c r="L11" s="629"/>
      <c r="M11" s="629"/>
      <c r="N11" s="629"/>
      <c r="O11" s="629"/>
      <c r="P11" s="629"/>
      <c r="Q11" s="586"/>
    </row>
    <row r="12" spans="1:17" s="585" customFormat="1" ht="14.25" customHeight="1" x14ac:dyDescent="0.25">
      <c r="A12" s="584"/>
      <c r="B12" s="1991" t="s">
        <v>1766</v>
      </c>
      <c r="C12" s="1991"/>
      <c r="D12" s="1991"/>
      <c r="E12" s="1991"/>
      <c r="F12" s="1991"/>
      <c r="G12" s="1991"/>
      <c r="H12" s="1991"/>
      <c r="I12" s="1991"/>
      <c r="J12" s="1991"/>
      <c r="K12" s="1991"/>
      <c r="L12" s="1991"/>
      <c r="M12" s="1991"/>
      <c r="N12" s="1991"/>
      <c r="O12" s="1991"/>
      <c r="P12" s="1991"/>
      <c r="Q12" s="584"/>
    </row>
    <row r="13" spans="1:17" s="11" customFormat="1" ht="12" customHeight="1" x14ac:dyDescent="0.2">
      <c r="A13" s="12"/>
      <c r="B13" s="12"/>
      <c r="C13" s="12"/>
      <c r="D13" s="12"/>
      <c r="E13" s="12"/>
      <c r="F13" s="12"/>
      <c r="G13" s="12"/>
      <c r="H13" s="12"/>
      <c r="I13" s="12"/>
      <c r="J13" s="12"/>
      <c r="K13" s="12"/>
      <c r="L13" s="12"/>
      <c r="M13" s="12"/>
      <c r="N13" s="12"/>
      <c r="O13" s="12"/>
      <c r="P13" s="12"/>
      <c r="Q13" s="12"/>
    </row>
    <row r="14" spans="1:17" s="11" customFormat="1" ht="15" customHeight="1" x14ac:dyDescent="0.2">
      <c r="A14" s="12"/>
      <c r="B14" s="1991" t="s">
        <v>1767</v>
      </c>
      <c r="C14" s="1991"/>
      <c r="D14" s="1991"/>
      <c r="E14" s="1991"/>
      <c r="F14" s="1991"/>
      <c r="G14" s="1991"/>
      <c r="H14" s="1991"/>
      <c r="I14" s="1991"/>
      <c r="J14" s="1991"/>
      <c r="K14" s="1991"/>
      <c r="L14" s="1991"/>
      <c r="M14" s="1991"/>
      <c r="N14" s="1991"/>
      <c r="O14" s="1991"/>
      <c r="P14" s="1991"/>
      <c r="Q14" s="12"/>
    </row>
    <row r="15" spans="1:17" s="11" customFormat="1" ht="12" customHeight="1" x14ac:dyDescent="0.2">
      <c r="A15" s="12"/>
      <c r="B15" s="12"/>
      <c r="C15" s="12"/>
      <c r="D15" s="12"/>
      <c r="E15" s="12"/>
      <c r="F15" s="12"/>
      <c r="G15" s="12"/>
      <c r="H15" s="12"/>
      <c r="I15" s="12"/>
      <c r="J15" s="12"/>
      <c r="K15" s="12"/>
      <c r="L15" s="12"/>
      <c r="M15" s="12"/>
      <c r="N15" s="12"/>
      <c r="O15" s="12"/>
      <c r="P15" s="12"/>
      <c r="Q15" s="12"/>
    </row>
    <row r="16" spans="1:17" s="11" customFormat="1" ht="30" customHeight="1" x14ac:dyDescent="0.2">
      <c r="A16" s="12"/>
      <c r="B16" s="1991" t="s">
        <v>1768</v>
      </c>
      <c r="C16" s="1991"/>
      <c r="D16" s="1991"/>
      <c r="E16" s="1991"/>
      <c r="F16" s="1991"/>
      <c r="G16" s="1991"/>
      <c r="H16" s="1991"/>
      <c r="I16" s="1991"/>
      <c r="J16" s="1991"/>
      <c r="K16" s="1991"/>
      <c r="L16" s="1991"/>
      <c r="M16" s="1991"/>
      <c r="N16" s="1991"/>
      <c r="O16" s="1991"/>
      <c r="P16" s="1991"/>
      <c r="Q16" s="12"/>
    </row>
    <row r="17" spans="1:17" s="11" customFormat="1" ht="12" customHeight="1" x14ac:dyDescent="0.2">
      <c r="A17" s="12"/>
      <c r="B17" s="12"/>
      <c r="C17" s="12"/>
      <c r="D17" s="12"/>
      <c r="E17" s="12"/>
      <c r="F17" s="12"/>
      <c r="G17" s="12"/>
      <c r="H17" s="12"/>
      <c r="I17" s="12"/>
      <c r="J17" s="12"/>
      <c r="K17" s="12"/>
      <c r="L17" s="12"/>
      <c r="M17" s="12"/>
      <c r="N17" s="12"/>
      <c r="O17" s="12"/>
      <c r="P17" s="12"/>
      <c r="Q17" s="12"/>
    </row>
    <row r="18" spans="1:17" s="587" customFormat="1" ht="15" customHeight="1" x14ac:dyDescent="0.2">
      <c r="A18" s="586"/>
      <c r="B18" s="1991" t="s">
        <v>1764</v>
      </c>
      <c r="C18" s="1991"/>
      <c r="D18" s="1991"/>
      <c r="E18" s="1991"/>
      <c r="F18" s="1991"/>
      <c r="G18" s="1991"/>
      <c r="H18" s="1991"/>
      <c r="I18" s="1991"/>
      <c r="J18" s="1991"/>
      <c r="K18" s="1991"/>
      <c r="L18" s="1991"/>
      <c r="M18" s="1991"/>
      <c r="N18" s="1991"/>
      <c r="O18" s="1991"/>
      <c r="P18" s="1991"/>
      <c r="Q18" s="586"/>
    </row>
    <row r="19" spans="1:17" s="11" customFormat="1" ht="12" customHeight="1" x14ac:dyDescent="0.2">
      <c r="A19" s="12"/>
      <c r="B19" s="12"/>
      <c r="C19" s="12"/>
      <c r="D19" s="12"/>
      <c r="E19" s="12"/>
      <c r="F19" s="12"/>
      <c r="G19" s="12"/>
      <c r="H19" s="12"/>
      <c r="I19" s="12"/>
      <c r="J19" s="12"/>
      <c r="K19" s="12"/>
      <c r="L19" s="12"/>
      <c r="M19" s="12"/>
      <c r="N19" s="12"/>
      <c r="O19" s="12"/>
      <c r="P19" s="12"/>
      <c r="Q19" s="12"/>
    </row>
    <row r="20" spans="1:17" s="11" customFormat="1" ht="15" customHeight="1" x14ac:dyDescent="0.2">
      <c r="A20" s="12"/>
      <c r="B20" s="1991" t="s">
        <v>1765</v>
      </c>
      <c r="C20" s="1991"/>
      <c r="D20" s="1991"/>
      <c r="E20" s="1991"/>
      <c r="F20" s="1991"/>
      <c r="G20" s="1991"/>
      <c r="H20" s="1991"/>
      <c r="I20" s="1991"/>
      <c r="J20" s="1991"/>
      <c r="K20" s="1991"/>
      <c r="L20" s="1991"/>
      <c r="M20" s="1991"/>
      <c r="N20" s="1991"/>
      <c r="O20" s="1991"/>
      <c r="P20" s="1991"/>
      <c r="Q20" s="12"/>
    </row>
    <row r="21" spans="1:17" s="11" customFormat="1" ht="12" customHeight="1" x14ac:dyDescent="0.2">
      <c r="A21" s="12"/>
      <c r="B21" s="12"/>
      <c r="C21" s="12"/>
      <c r="D21" s="12"/>
      <c r="E21" s="12"/>
      <c r="F21" s="12"/>
      <c r="G21" s="12"/>
      <c r="H21" s="12"/>
      <c r="I21" s="12"/>
      <c r="J21" s="12"/>
      <c r="K21" s="12"/>
      <c r="L21" s="12"/>
      <c r="M21" s="12"/>
      <c r="N21" s="12"/>
      <c r="O21" s="12"/>
      <c r="P21" s="12"/>
      <c r="Q21" s="12"/>
    </row>
    <row r="22" spans="1:17" s="11" customFormat="1" ht="15" customHeight="1" x14ac:dyDescent="0.2">
      <c r="A22" s="12"/>
      <c r="B22" s="1991" t="s">
        <v>1859</v>
      </c>
      <c r="C22" s="1991"/>
      <c r="D22" s="1991"/>
      <c r="E22" s="1991"/>
      <c r="F22" s="1991"/>
      <c r="G22" s="1991"/>
      <c r="H22" s="1991"/>
      <c r="I22" s="1991"/>
      <c r="J22" s="1991"/>
      <c r="K22" s="1991"/>
      <c r="L22" s="1991"/>
      <c r="M22" s="1991"/>
      <c r="N22" s="1991"/>
      <c r="O22" s="1991"/>
      <c r="P22" s="1991"/>
      <c r="Q22" s="12"/>
    </row>
    <row r="23" spans="1:17" s="11" customFormat="1" ht="12" customHeight="1" x14ac:dyDescent="0.2">
      <c r="A23" s="12"/>
      <c r="B23" s="12"/>
      <c r="C23" s="12"/>
      <c r="D23" s="12"/>
      <c r="E23" s="12"/>
      <c r="F23" s="12"/>
      <c r="G23" s="12"/>
      <c r="H23" s="12"/>
      <c r="I23" s="12"/>
      <c r="J23" s="12"/>
      <c r="K23" s="12"/>
      <c r="L23" s="12"/>
      <c r="M23" s="12"/>
      <c r="N23" s="12"/>
      <c r="O23" s="12"/>
      <c r="P23" s="12"/>
      <c r="Q23" s="12"/>
    </row>
    <row r="24" spans="1:17" s="11" customFormat="1" ht="15" customHeight="1" x14ac:dyDescent="0.2">
      <c r="A24" s="12"/>
      <c r="B24" s="1991" t="s">
        <v>1769</v>
      </c>
      <c r="C24" s="1991"/>
      <c r="D24" s="1991"/>
      <c r="E24" s="1991"/>
      <c r="F24" s="1991"/>
      <c r="G24" s="1991"/>
      <c r="H24" s="1991"/>
      <c r="I24" s="1991"/>
      <c r="J24" s="1991"/>
      <c r="K24" s="1991"/>
      <c r="L24" s="1991"/>
      <c r="M24" s="1991"/>
      <c r="N24" s="1991"/>
      <c r="O24" s="1991"/>
      <c r="P24" s="1991"/>
      <c r="Q24" s="12"/>
    </row>
    <row r="25" spans="1:17" s="11" customFormat="1" ht="12" customHeight="1" x14ac:dyDescent="0.2">
      <c r="A25" s="12"/>
      <c r="B25" s="12"/>
      <c r="C25" s="12"/>
      <c r="D25" s="12"/>
      <c r="E25" s="12"/>
      <c r="F25" s="12"/>
      <c r="G25" s="12"/>
      <c r="H25" s="12"/>
      <c r="I25" s="12"/>
      <c r="J25" s="12"/>
      <c r="K25" s="12"/>
      <c r="L25" s="12"/>
      <c r="M25" s="12"/>
      <c r="N25" s="12"/>
      <c r="O25" s="12"/>
      <c r="P25" s="12"/>
      <c r="Q25" s="12"/>
    </row>
    <row r="26" spans="1:17" s="585" customFormat="1" ht="30" customHeight="1" x14ac:dyDescent="0.25">
      <c r="A26" s="584"/>
      <c r="B26" s="1991" t="s">
        <v>1770</v>
      </c>
      <c r="C26" s="1991"/>
      <c r="D26" s="1991"/>
      <c r="E26" s="1991"/>
      <c r="F26" s="1991"/>
      <c r="G26" s="1991"/>
      <c r="H26" s="1991"/>
      <c r="I26" s="1991"/>
      <c r="J26" s="1991"/>
      <c r="K26" s="1991"/>
      <c r="L26" s="1991"/>
      <c r="M26" s="1991"/>
      <c r="N26" s="1991"/>
      <c r="O26" s="1991"/>
      <c r="P26" s="1991"/>
      <c r="Q26" s="584"/>
    </row>
    <row r="27" spans="1:17" s="11" customFormat="1" ht="12" customHeight="1" x14ac:dyDescent="0.2">
      <c r="A27" s="12"/>
      <c r="B27" s="12"/>
      <c r="C27" s="12"/>
      <c r="D27" s="12"/>
      <c r="E27" s="12"/>
      <c r="F27" s="12"/>
      <c r="G27" s="12"/>
      <c r="H27" s="12"/>
      <c r="I27" s="12"/>
      <c r="J27" s="12"/>
      <c r="K27" s="12"/>
      <c r="L27" s="12"/>
      <c r="M27" s="12"/>
      <c r="N27" s="12"/>
      <c r="O27" s="12"/>
      <c r="P27" s="12"/>
      <c r="Q27" s="12"/>
    </row>
    <row r="28" spans="1:17" s="585" customFormat="1" ht="30" customHeight="1" x14ac:dyDescent="0.25">
      <c r="A28" s="584"/>
      <c r="B28" s="1991" t="s">
        <v>1771</v>
      </c>
      <c r="C28" s="1991"/>
      <c r="D28" s="1991"/>
      <c r="E28" s="1991"/>
      <c r="F28" s="1991"/>
      <c r="G28" s="1991"/>
      <c r="H28" s="1991"/>
      <c r="I28" s="1991"/>
      <c r="J28" s="1991"/>
      <c r="K28" s="1991"/>
      <c r="L28" s="1991"/>
      <c r="M28" s="1991"/>
      <c r="N28" s="1991"/>
      <c r="O28" s="1991"/>
      <c r="P28" s="1991"/>
      <c r="Q28" s="584"/>
    </row>
    <row r="29" spans="1:17" s="11" customFormat="1" ht="12" customHeight="1" x14ac:dyDescent="0.2">
      <c r="A29" s="12"/>
      <c r="B29" s="12"/>
      <c r="C29" s="12"/>
      <c r="D29" s="12"/>
      <c r="E29" s="12"/>
      <c r="F29" s="12"/>
      <c r="G29" s="12"/>
      <c r="H29" s="12"/>
      <c r="I29" s="12"/>
      <c r="J29" s="12"/>
      <c r="K29" s="12"/>
      <c r="L29" s="12"/>
      <c r="M29" s="12"/>
      <c r="N29" s="12"/>
      <c r="O29" s="12"/>
      <c r="P29" s="12"/>
      <c r="Q29" s="12"/>
    </row>
    <row r="30" spans="1:17" s="585" customFormat="1" ht="30" customHeight="1" x14ac:dyDescent="0.25">
      <c r="A30" s="584"/>
      <c r="B30" s="1991" t="s">
        <v>1772</v>
      </c>
      <c r="C30" s="1991"/>
      <c r="D30" s="1991"/>
      <c r="E30" s="1991"/>
      <c r="F30" s="1991"/>
      <c r="G30" s="1991"/>
      <c r="H30" s="1991"/>
      <c r="I30" s="1991"/>
      <c r="J30" s="1991"/>
      <c r="K30" s="1991"/>
      <c r="L30" s="1991"/>
      <c r="M30" s="1991"/>
      <c r="N30" s="1991"/>
      <c r="O30" s="1991"/>
      <c r="P30" s="1991"/>
      <c r="Q30" s="584"/>
    </row>
    <row r="31" spans="1:17" s="11" customFormat="1" ht="12" customHeight="1" x14ac:dyDescent="0.2">
      <c r="A31" s="12"/>
      <c r="B31" s="12"/>
      <c r="C31" s="12"/>
      <c r="D31" s="12"/>
      <c r="E31" s="12"/>
      <c r="F31" s="12"/>
      <c r="G31" s="12"/>
      <c r="H31" s="12"/>
      <c r="I31" s="12"/>
      <c r="J31" s="12"/>
      <c r="K31" s="12"/>
      <c r="L31" s="12"/>
      <c r="M31" s="12"/>
      <c r="N31" s="12"/>
      <c r="O31" s="12"/>
      <c r="P31" s="12"/>
      <c r="Q31" s="12"/>
    </row>
    <row r="32" spans="1:17" s="585" customFormat="1" ht="30" customHeight="1" x14ac:dyDescent="0.25">
      <c r="A32" s="584"/>
      <c r="B32" s="1991" t="s">
        <v>1858</v>
      </c>
      <c r="C32" s="1991"/>
      <c r="D32" s="1991"/>
      <c r="E32" s="1991"/>
      <c r="F32" s="1991"/>
      <c r="G32" s="1991"/>
      <c r="H32" s="1991"/>
      <c r="I32" s="1991"/>
      <c r="J32" s="1991"/>
      <c r="K32" s="1991"/>
      <c r="L32" s="1991"/>
      <c r="M32" s="1991"/>
      <c r="N32" s="1991"/>
      <c r="O32" s="1991"/>
      <c r="P32" s="1991"/>
      <c r="Q32" s="584"/>
    </row>
    <row r="33" spans="1:17" s="11" customFormat="1" ht="12" customHeight="1" x14ac:dyDescent="0.2">
      <c r="A33" s="12"/>
      <c r="B33" s="12"/>
      <c r="C33" s="12"/>
      <c r="D33" s="12"/>
      <c r="E33" s="12"/>
      <c r="F33" s="12"/>
      <c r="G33" s="12"/>
      <c r="H33" s="12"/>
      <c r="I33" s="12"/>
      <c r="J33" s="12"/>
      <c r="K33" s="12"/>
      <c r="L33" s="12"/>
      <c r="M33" s="12"/>
      <c r="N33" s="12"/>
      <c r="O33" s="12"/>
      <c r="P33" s="12"/>
      <c r="Q33" s="12"/>
    </row>
    <row r="34" spans="1:17" s="11" customFormat="1" ht="15" customHeight="1" x14ac:dyDescent="0.2">
      <c r="A34" s="12"/>
      <c r="B34" s="1991" t="s">
        <v>1860</v>
      </c>
      <c r="C34" s="1991"/>
      <c r="D34" s="1991"/>
      <c r="E34" s="1991"/>
      <c r="F34" s="1991"/>
      <c r="G34" s="1991"/>
      <c r="H34" s="1991"/>
      <c r="I34" s="1991"/>
      <c r="J34" s="1991"/>
      <c r="K34" s="1991"/>
      <c r="L34" s="1991"/>
      <c r="M34" s="1991"/>
      <c r="N34" s="1991"/>
      <c r="O34" s="1991"/>
      <c r="P34" s="1991"/>
      <c r="Q34" s="12"/>
    </row>
    <row r="35" spans="1:17" s="11" customFormat="1" ht="12" customHeight="1" x14ac:dyDescent="0.2">
      <c r="A35" s="12"/>
      <c r="B35" s="12"/>
      <c r="C35" s="12"/>
      <c r="D35" s="12"/>
      <c r="E35" s="12"/>
      <c r="F35" s="12"/>
      <c r="G35" s="12"/>
      <c r="H35" s="12"/>
      <c r="I35" s="12"/>
      <c r="J35" s="12"/>
      <c r="K35" s="12"/>
      <c r="L35" s="12"/>
      <c r="M35" s="12"/>
      <c r="N35" s="12"/>
      <c r="O35" s="12"/>
      <c r="P35" s="12"/>
      <c r="Q35" s="12"/>
    </row>
    <row r="36" spans="1:17" s="11" customFormat="1" ht="15" customHeight="1" x14ac:dyDescent="0.2">
      <c r="A36" s="12"/>
      <c r="B36" s="1991" t="s">
        <v>1773</v>
      </c>
      <c r="C36" s="1991"/>
      <c r="D36" s="1991"/>
      <c r="E36" s="1991"/>
      <c r="F36" s="1991"/>
      <c r="G36" s="1991"/>
      <c r="H36" s="1991"/>
      <c r="I36" s="1991"/>
      <c r="J36" s="1991"/>
      <c r="K36" s="1991"/>
      <c r="L36" s="1991"/>
      <c r="M36" s="1991"/>
      <c r="N36" s="1991"/>
      <c r="O36" s="1991"/>
      <c r="P36" s="1991"/>
      <c r="Q36" s="12"/>
    </row>
    <row r="37" spans="1:17" s="11" customFormat="1" ht="18.75" customHeight="1" x14ac:dyDescent="0.2">
      <c r="A37" s="208"/>
      <c r="B37" s="208"/>
      <c r="C37" s="208"/>
      <c r="D37" s="208"/>
      <c r="E37" s="208"/>
      <c r="F37" s="208"/>
      <c r="G37" s="208"/>
      <c r="H37" s="208"/>
      <c r="I37" s="208"/>
      <c r="J37" s="208"/>
      <c r="K37" s="208"/>
      <c r="L37" s="208"/>
      <c r="M37" s="208"/>
      <c r="N37" s="208"/>
      <c r="O37" s="208"/>
      <c r="P37" s="208"/>
      <c r="Q37" s="208"/>
    </row>
    <row r="38" spans="1:17" s="11" customFormat="1" ht="27" customHeight="1" x14ac:dyDescent="0.2">
      <c r="A38" s="2553" t="s">
        <v>1791</v>
      </c>
      <c r="B38" s="2553"/>
      <c r="C38" s="2553"/>
      <c r="D38" s="2553"/>
      <c r="E38" s="2553"/>
      <c r="F38" s="2553"/>
      <c r="G38" s="2553"/>
      <c r="H38" s="2553"/>
      <c r="I38" s="2553"/>
      <c r="J38" s="2553"/>
      <c r="K38" s="2553"/>
      <c r="L38" s="2553"/>
      <c r="M38" s="2553"/>
      <c r="N38" s="2553"/>
      <c r="O38" s="2553"/>
      <c r="P38" s="2553"/>
      <c r="Q38" s="2553"/>
    </row>
    <row r="39" spans="1:17" s="11" customFormat="1" ht="15" customHeight="1" x14ac:dyDescent="0.2">
      <c r="A39" s="12"/>
      <c r="B39" s="12"/>
      <c r="C39" s="12"/>
      <c r="D39" s="12"/>
      <c r="E39" s="12"/>
      <c r="F39" s="12"/>
      <c r="G39" s="12"/>
      <c r="H39" s="12"/>
      <c r="I39" s="12"/>
      <c r="J39" s="12"/>
      <c r="K39" s="12"/>
      <c r="L39" s="12"/>
      <c r="M39" s="12"/>
      <c r="N39" s="12"/>
      <c r="O39" s="12"/>
      <c r="P39" s="12"/>
      <c r="Q39" s="12"/>
    </row>
    <row r="40" spans="1:17" s="11" customFormat="1" ht="15" customHeight="1" x14ac:dyDescent="0.2">
      <c r="A40" s="12"/>
      <c r="B40" s="1991" t="s">
        <v>1974</v>
      </c>
      <c r="C40" s="1991"/>
      <c r="D40" s="1991"/>
      <c r="E40" s="1991"/>
      <c r="F40" s="1991"/>
      <c r="G40" s="1991"/>
      <c r="H40" s="1991"/>
      <c r="I40" s="1991"/>
      <c r="J40" s="1991"/>
      <c r="K40" s="1991"/>
      <c r="L40" s="1991"/>
      <c r="M40" s="1991"/>
      <c r="N40" s="1991"/>
      <c r="O40" s="1991"/>
      <c r="P40" s="1991"/>
      <c r="Q40" s="12"/>
    </row>
    <row r="41" spans="1:17" s="11" customFormat="1" ht="15" customHeight="1" x14ac:dyDescent="0.2">
      <c r="A41" s="12"/>
      <c r="B41" s="12"/>
      <c r="C41" s="12"/>
      <c r="D41" s="12"/>
      <c r="E41" s="12"/>
      <c r="F41" s="12"/>
      <c r="G41" s="12"/>
      <c r="H41" s="12"/>
      <c r="I41" s="12"/>
      <c r="J41" s="12"/>
      <c r="K41" s="12"/>
      <c r="L41" s="12"/>
      <c r="M41" s="12"/>
      <c r="N41" s="12"/>
      <c r="O41" s="12"/>
      <c r="P41" s="12"/>
      <c r="Q41" s="12"/>
    </row>
    <row r="42" spans="1:17" s="11" customFormat="1" ht="15" customHeight="1" x14ac:dyDescent="0.2">
      <c r="A42" s="12"/>
      <c r="B42" s="1991" t="s">
        <v>1975</v>
      </c>
      <c r="C42" s="1991"/>
      <c r="D42" s="1991"/>
      <c r="E42" s="1991"/>
      <c r="F42" s="1991"/>
      <c r="G42" s="1991"/>
      <c r="H42" s="1991"/>
      <c r="I42" s="1991"/>
      <c r="J42" s="1991"/>
      <c r="K42" s="1991"/>
      <c r="L42" s="1991"/>
      <c r="M42" s="1991"/>
      <c r="N42" s="1991"/>
      <c r="O42" s="1991"/>
      <c r="P42" s="1991"/>
      <c r="Q42" s="12"/>
    </row>
    <row r="43" spans="1:17" s="11" customFormat="1" ht="15" customHeight="1" x14ac:dyDescent="0.2">
      <c r="A43" s="12"/>
      <c r="B43" s="12"/>
      <c r="C43" s="12"/>
      <c r="D43" s="12"/>
      <c r="E43" s="12"/>
      <c r="F43" s="12"/>
      <c r="G43" s="12"/>
      <c r="H43" s="12"/>
      <c r="I43" s="12"/>
      <c r="J43" s="12"/>
      <c r="K43" s="12"/>
      <c r="L43" s="12"/>
      <c r="M43" s="12"/>
      <c r="N43" s="12"/>
      <c r="O43" s="12"/>
      <c r="P43" s="12"/>
      <c r="Q43" s="12"/>
    </row>
    <row r="44" spans="1:17" s="11" customFormat="1" ht="15" customHeight="1" x14ac:dyDescent="0.2">
      <c r="A44" s="12"/>
      <c r="B44" s="1991" t="s">
        <v>2162</v>
      </c>
      <c r="C44" s="1991"/>
      <c r="D44" s="1991"/>
      <c r="E44" s="1991"/>
      <c r="F44" s="1991"/>
      <c r="G44" s="1991"/>
      <c r="H44" s="1991"/>
      <c r="I44" s="1991"/>
      <c r="J44" s="1991"/>
      <c r="K44" s="1991"/>
      <c r="L44" s="1991"/>
      <c r="M44" s="1991"/>
      <c r="N44" s="1991"/>
      <c r="O44" s="1991"/>
      <c r="P44" s="1991"/>
      <c r="Q44" s="12"/>
    </row>
    <row r="45" spans="1:17" s="11" customFormat="1" ht="15" customHeight="1" x14ac:dyDescent="0.2">
      <c r="A45" s="12"/>
      <c r="B45" s="12"/>
      <c r="C45" s="12"/>
      <c r="D45" s="12"/>
      <c r="E45" s="12"/>
      <c r="F45" s="12"/>
      <c r="G45" s="12"/>
      <c r="H45" s="12"/>
      <c r="I45" s="12"/>
      <c r="J45" s="12"/>
      <c r="K45" s="12"/>
      <c r="L45" s="12"/>
      <c r="M45" s="12"/>
      <c r="N45" s="12"/>
      <c r="O45" s="12"/>
      <c r="P45" s="12"/>
      <c r="Q45" s="12"/>
    </row>
    <row r="46" spans="1:17" s="11" customFormat="1" ht="15" customHeight="1" x14ac:dyDescent="0.2">
      <c r="A46" s="12"/>
      <c r="B46" s="1991" t="s">
        <v>1632</v>
      </c>
      <c r="C46" s="1991"/>
      <c r="D46" s="1991"/>
      <c r="E46" s="1991"/>
      <c r="F46" s="1991"/>
      <c r="G46" s="1991"/>
      <c r="H46" s="1991"/>
      <c r="I46" s="1991"/>
      <c r="J46" s="1991"/>
      <c r="K46" s="1991"/>
      <c r="L46" s="1991"/>
      <c r="M46" s="1991"/>
      <c r="N46" s="1991"/>
      <c r="O46" s="1991"/>
      <c r="P46" s="1991"/>
      <c r="Q46" s="12"/>
    </row>
    <row r="47" spans="1:17" s="11" customFormat="1" ht="12" customHeight="1" x14ac:dyDescent="0.2">
      <c r="A47" s="12"/>
      <c r="B47" s="12"/>
      <c r="C47" s="12"/>
      <c r="D47" s="12"/>
      <c r="E47" s="12"/>
      <c r="F47" s="12"/>
      <c r="G47" s="12"/>
      <c r="H47" s="12"/>
      <c r="I47" s="12"/>
      <c r="J47" s="12"/>
      <c r="K47" s="12"/>
      <c r="L47" s="12"/>
      <c r="M47" s="12"/>
      <c r="N47" s="12"/>
      <c r="O47" s="12"/>
      <c r="P47" s="12"/>
      <c r="Q47" s="12"/>
    </row>
    <row r="48" spans="1:17" s="11" customFormat="1" ht="15" customHeight="1" x14ac:dyDescent="0.2">
      <c r="A48" s="12"/>
      <c r="B48" s="1991" t="s">
        <v>1633</v>
      </c>
      <c r="C48" s="1991"/>
      <c r="D48" s="1991"/>
      <c r="E48" s="1991"/>
      <c r="F48" s="1991"/>
      <c r="G48" s="1991"/>
      <c r="H48" s="1991"/>
      <c r="I48" s="1991"/>
      <c r="J48" s="1991"/>
      <c r="K48" s="1991"/>
      <c r="L48" s="1991"/>
      <c r="M48" s="1991"/>
      <c r="N48" s="1991"/>
      <c r="O48" s="1991"/>
      <c r="P48" s="1991"/>
      <c r="Q48" s="12"/>
    </row>
    <row r="49" spans="1:17" s="11" customFormat="1" ht="12" customHeight="1" x14ac:dyDescent="0.2">
      <c r="A49" s="12"/>
      <c r="B49" s="12"/>
      <c r="C49" s="12"/>
      <c r="D49" s="12"/>
      <c r="E49" s="12"/>
      <c r="F49" s="12"/>
      <c r="G49" s="12"/>
      <c r="H49" s="12"/>
      <c r="I49" s="12"/>
      <c r="J49" s="12"/>
      <c r="K49" s="12"/>
      <c r="L49" s="12"/>
      <c r="M49" s="12"/>
      <c r="N49" s="12"/>
      <c r="O49" s="12"/>
      <c r="P49" s="12"/>
      <c r="Q49" s="12"/>
    </row>
    <row r="50" spans="1:17" s="11" customFormat="1" ht="22.5" customHeight="1" x14ac:dyDescent="0.2">
      <c r="A50" s="12"/>
      <c r="B50" s="2551" t="s">
        <v>1976</v>
      </c>
      <c r="C50" s="2551"/>
      <c r="D50" s="2551"/>
      <c r="E50" s="2551"/>
      <c r="F50" s="2551"/>
      <c r="G50" s="2551"/>
      <c r="H50" s="2551"/>
      <c r="I50" s="2551"/>
      <c r="J50" s="2551"/>
      <c r="K50" s="2551"/>
      <c r="L50" s="2551"/>
      <c r="M50" s="2551"/>
      <c r="N50" s="2551"/>
      <c r="O50" s="2551"/>
      <c r="P50" s="2551"/>
      <c r="Q50" s="12"/>
    </row>
    <row r="51" spans="1:17" s="11" customFormat="1" ht="15" customHeight="1" x14ac:dyDescent="0.2">
      <c r="A51" s="12"/>
      <c r="B51" s="2551"/>
      <c r="C51" s="2551"/>
      <c r="D51" s="2551"/>
      <c r="E51" s="2551"/>
      <c r="F51" s="2551"/>
      <c r="G51" s="2551"/>
      <c r="H51" s="2551"/>
      <c r="I51" s="2551"/>
      <c r="J51" s="2551"/>
      <c r="K51" s="2551"/>
      <c r="L51" s="2551"/>
      <c r="M51" s="2551"/>
      <c r="N51" s="2551"/>
      <c r="O51" s="2551"/>
      <c r="P51" s="2551"/>
      <c r="Q51" s="12"/>
    </row>
    <row r="52" spans="1:17" s="11" customFormat="1" ht="12" customHeight="1" x14ac:dyDescent="0.2">
      <c r="A52" s="12"/>
      <c r="B52" s="12"/>
      <c r="C52" s="12"/>
      <c r="D52" s="12"/>
      <c r="E52" s="12"/>
      <c r="F52" s="12"/>
      <c r="G52" s="12"/>
      <c r="H52" s="12"/>
      <c r="I52" s="12"/>
      <c r="J52" s="12"/>
      <c r="K52" s="12"/>
      <c r="L52" s="12"/>
      <c r="M52" s="12"/>
      <c r="N52" s="12"/>
      <c r="O52" s="12"/>
      <c r="P52" s="12"/>
      <c r="Q52" s="12"/>
    </row>
    <row r="53" spans="1:17" s="11" customFormat="1" ht="15" customHeight="1" x14ac:dyDescent="0.2">
      <c r="A53" s="12"/>
      <c r="B53" s="1991" t="s">
        <v>1978</v>
      </c>
      <c r="C53" s="1991"/>
      <c r="D53" s="1991"/>
      <c r="E53" s="1991"/>
      <c r="F53" s="1991"/>
      <c r="G53" s="1991"/>
      <c r="H53" s="1991"/>
      <c r="I53" s="1991"/>
      <c r="J53" s="1991"/>
      <c r="K53" s="1991"/>
      <c r="L53" s="1991"/>
      <c r="M53" s="1991"/>
      <c r="N53" s="1991"/>
      <c r="O53" s="1991"/>
      <c r="P53" s="1991"/>
      <c r="Q53" s="12"/>
    </row>
    <row r="54" spans="1:17" s="11" customFormat="1" ht="12" customHeight="1" x14ac:dyDescent="0.2">
      <c r="A54" s="12"/>
      <c r="B54" s="12"/>
      <c r="C54" s="12"/>
      <c r="D54" s="12"/>
      <c r="E54" s="12"/>
      <c r="F54" s="12"/>
      <c r="G54" s="12"/>
      <c r="H54" s="12"/>
      <c r="I54" s="12"/>
      <c r="J54" s="12"/>
      <c r="K54" s="12"/>
      <c r="L54" s="12"/>
      <c r="M54" s="12"/>
      <c r="N54" s="12"/>
      <c r="O54" s="12"/>
      <c r="P54" s="12"/>
      <c r="Q54" s="12"/>
    </row>
    <row r="55" spans="1:17" s="11" customFormat="1" ht="15" customHeight="1" x14ac:dyDescent="0.2">
      <c r="A55" s="12"/>
      <c r="B55" s="1991" t="s">
        <v>1977</v>
      </c>
      <c r="C55" s="1991"/>
      <c r="D55" s="1991"/>
      <c r="E55" s="1991"/>
      <c r="F55" s="1991"/>
      <c r="G55" s="1991"/>
      <c r="H55" s="1991"/>
      <c r="I55" s="1991"/>
      <c r="J55" s="1991"/>
      <c r="K55" s="1991"/>
      <c r="L55" s="1991"/>
      <c r="M55" s="1991"/>
      <c r="N55" s="1991"/>
      <c r="O55" s="1991"/>
      <c r="P55" s="1991"/>
      <c r="Q55" s="12"/>
    </row>
    <row r="56" spans="1:17" s="11" customFormat="1" ht="12" customHeight="1" x14ac:dyDescent="0.2">
      <c r="A56" s="12"/>
      <c r="B56" s="12"/>
      <c r="C56" s="12"/>
      <c r="D56" s="12"/>
      <c r="E56" s="12"/>
      <c r="F56" s="12"/>
      <c r="G56" s="12"/>
      <c r="H56" s="12"/>
      <c r="I56" s="12"/>
      <c r="J56" s="12"/>
      <c r="K56" s="12"/>
      <c r="L56" s="12"/>
      <c r="M56" s="12"/>
      <c r="N56" s="12"/>
      <c r="O56" s="12"/>
      <c r="P56" s="12"/>
      <c r="Q56" s="12"/>
    </row>
    <row r="57" spans="1:17" s="11" customFormat="1" ht="83.25" customHeight="1" x14ac:dyDescent="0.2">
      <c r="A57" s="12"/>
      <c r="B57" s="1991" t="s">
        <v>1979</v>
      </c>
      <c r="C57" s="1991"/>
      <c r="D57" s="1991"/>
      <c r="E57" s="1991"/>
      <c r="F57" s="1991"/>
      <c r="G57" s="1991"/>
      <c r="H57" s="1991"/>
      <c r="I57" s="1991"/>
      <c r="J57" s="1991"/>
      <c r="K57" s="1991"/>
      <c r="L57" s="1991"/>
      <c r="M57" s="1991"/>
      <c r="N57" s="1991"/>
      <c r="O57" s="1991"/>
      <c r="P57" s="1991"/>
      <c r="Q57" s="12"/>
    </row>
    <row r="58" spans="1:17" s="11" customFormat="1" ht="15" customHeight="1" x14ac:dyDescent="0.2">
      <c r="A58" s="12"/>
      <c r="B58" s="12"/>
      <c r="C58" s="12"/>
      <c r="D58" s="12"/>
      <c r="E58" s="12"/>
      <c r="F58" s="12"/>
      <c r="G58" s="12"/>
      <c r="H58" s="12"/>
      <c r="I58" s="12"/>
      <c r="J58" s="12"/>
      <c r="K58" s="12"/>
      <c r="L58" s="12"/>
      <c r="M58" s="12"/>
      <c r="N58" s="12"/>
      <c r="O58" s="12"/>
      <c r="P58" s="12"/>
      <c r="Q58" s="12"/>
    </row>
    <row r="59" spans="1:17" s="11" customFormat="1" ht="15" customHeight="1" x14ac:dyDescent="0.2">
      <c r="A59" s="12"/>
      <c r="B59" s="1991" t="s">
        <v>1634</v>
      </c>
      <c r="C59" s="1991"/>
      <c r="D59" s="1991"/>
      <c r="E59" s="1991"/>
      <c r="F59" s="1991"/>
      <c r="G59" s="1991"/>
      <c r="H59" s="1991"/>
      <c r="I59" s="1991"/>
      <c r="J59" s="1991"/>
      <c r="K59" s="1991"/>
      <c r="L59" s="1991"/>
      <c r="M59" s="1991"/>
      <c r="N59" s="1991"/>
      <c r="O59" s="1991"/>
      <c r="P59" s="1991"/>
      <c r="Q59" s="12"/>
    </row>
    <row r="60" spans="1:17" s="11" customFormat="1" ht="21" customHeight="1" x14ac:dyDescent="0.2">
      <c r="A60" s="208"/>
      <c r="B60" s="208"/>
      <c r="C60" s="208"/>
      <c r="D60" s="208"/>
      <c r="E60" s="208"/>
      <c r="F60" s="208"/>
      <c r="G60" s="208"/>
      <c r="H60" s="208"/>
      <c r="I60" s="208"/>
      <c r="J60" s="208"/>
      <c r="K60" s="208"/>
      <c r="L60" s="208"/>
      <c r="M60" s="208"/>
      <c r="N60" s="208"/>
      <c r="O60" s="208"/>
      <c r="P60" s="208"/>
      <c r="Q60" s="208"/>
    </row>
    <row r="61" spans="1:17" s="11" customFormat="1" ht="24" customHeight="1" x14ac:dyDescent="0.2">
      <c r="A61" s="2549" t="s">
        <v>1792</v>
      </c>
      <c r="B61" s="2549"/>
      <c r="C61" s="2549"/>
      <c r="D61" s="2549"/>
      <c r="E61" s="2549"/>
      <c r="F61" s="2549"/>
      <c r="G61" s="2549"/>
      <c r="H61" s="2549"/>
      <c r="I61" s="2549"/>
      <c r="J61" s="2549"/>
      <c r="K61" s="2549"/>
      <c r="L61" s="2549"/>
      <c r="M61" s="2549"/>
      <c r="N61" s="2549"/>
      <c r="O61" s="2549"/>
      <c r="P61" s="2549"/>
      <c r="Q61" s="2549"/>
    </row>
    <row r="62" spans="1:17" s="11" customFormat="1" ht="15" customHeight="1" x14ac:dyDescent="0.2">
      <c r="A62" s="12"/>
      <c r="B62" s="12"/>
      <c r="C62" s="12"/>
      <c r="D62" s="12"/>
      <c r="E62" s="12"/>
      <c r="F62" s="12"/>
      <c r="G62" s="12"/>
      <c r="H62" s="12"/>
      <c r="I62" s="12"/>
      <c r="J62" s="12"/>
      <c r="K62" s="12"/>
      <c r="L62" s="12"/>
      <c r="M62" s="12"/>
      <c r="N62" s="12"/>
      <c r="O62" s="12"/>
      <c r="P62" s="12"/>
      <c r="Q62" s="12"/>
    </row>
    <row r="63" spans="1:17" s="585" customFormat="1" ht="51.75" customHeight="1" x14ac:dyDescent="0.25">
      <c r="A63" s="584"/>
      <c r="B63" s="1991" t="s">
        <v>2152</v>
      </c>
      <c r="C63" s="1991"/>
      <c r="D63" s="1991"/>
      <c r="E63" s="1991"/>
      <c r="F63" s="1991"/>
      <c r="G63" s="1991"/>
      <c r="H63" s="1991"/>
      <c r="I63" s="1991"/>
      <c r="J63" s="1991"/>
      <c r="K63" s="1991"/>
      <c r="L63" s="1991"/>
      <c r="M63" s="1991"/>
      <c r="N63" s="1991"/>
      <c r="O63" s="1991"/>
      <c r="P63" s="1991"/>
      <c r="Q63" s="584"/>
    </row>
    <row r="64" spans="1:17" s="11" customFormat="1" ht="12" customHeight="1" x14ac:dyDescent="0.2">
      <c r="A64" s="12"/>
      <c r="B64" s="584"/>
      <c r="C64" s="584"/>
      <c r="D64" s="584"/>
      <c r="E64" s="584"/>
      <c r="F64" s="584"/>
      <c r="G64" s="584"/>
      <c r="H64" s="584"/>
      <c r="I64" s="584"/>
      <c r="J64" s="584"/>
      <c r="K64" s="584"/>
      <c r="L64" s="584"/>
      <c r="M64" s="584"/>
      <c r="N64" s="584"/>
      <c r="O64" s="584"/>
      <c r="P64" s="584"/>
      <c r="Q64" s="12"/>
    </row>
    <row r="65" spans="1:17" s="585" customFormat="1" ht="27.75" customHeight="1" x14ac:dyDescent="0.25">
      <c r="A65" s="584"/>
      <c r="B65" s="1991" t="s">
        <v>2216</v>
      </c>
      <c r="C65" s="1991"/>
      <c r="D65" s="1991"/>
      <c r="E65" s="1991"/>
      <c r="F65" s="1991"/>
      <c r="G65" s="1991"/>
      <c r="H65" s="1991"/>
      <c r="I65" s="1991"/>
      <c r="J65" s="1991"/>
      <c r="K65" s="1991"/>
      <c r="L65" s="1991"/>
      <c r="M65" s="1991"/>
      <c r="N65" s="1991"/>
      <c r="O65" s="1991"/>
      <c r="P65" s="1991"/>
      <c r="Q65" s="584"/>
    </row>
    <row r="66" spans="1:17" s="11" customFormat="1" ht="12" customHeight="1" x14ac:dyDescent="0.2">
      <c r="A66" s="12"/>
      <c r="B66" s="584"/>
      <c r="C66" s="584"/>
      <c r="D66" s="584"/>
      <c r="E66" s="584"/>
      <c r="F66" s="584"/>
      <c r="G66" s="584"/>
      <c r="H66" s="584"/>
      <c r="I66" s="584"/>
      <c r="J66" s="584"/>
      <c r="K66" s="584"/>
      <c r="L66" s="584"/>
      <c r="M66" s="584"/>
      <c r="N66" s="584"/>
      <c r="O66" s="584"/>
      <c r="P66" s="584"/>
      <c r="Q66" s="12"/>
    </row>
    <row r="67" spans="1:17" s="585" customFormat="1" ht="27" customHeight="1" x14ac:dyDescent="0.25">
      <c r="A67" s="584"/>
      <c r="B67" s="1991" t="s">
        <v>2151</v>
      </c>
      <c r="C67" s="1991"/>
      <c r="D67" s="1991"/>
      <c r="E67" s="1991"/>
      <c r="F67" s="1991"/>
      <c r="G67" s="1991"/>
      <c r="H67" s="1991"/>
      <c r="I67" s="1991"/>
      <c r="J67" s="1991"/>
      <c r="K67" s="1991"/>
      <c r="L67" s="1991"/>
      <c r="M67" s="1991"/>
      <c r="N67" s="1991"/>
      <c r="O67" s="1991"/>
      <c r="P67" s="1991"/>
      <c r="Q67" s="584"/>
    </row>
    <row r="68" spans="1:17" s="11" customFormat="1" ht="12" customHeight="1" x14ac:dyDescent="0.2">
      <c r="A68" s="12"/>
      <c r="B68" s="584"/>
      <c r="C68" s="584"/>
      <c r="D68" s="584"/>
      <c r="E68" s="584"/>
      <c r="F68" s="584"/>
      <c r="G68" s="584"/>
      <c r="H68" s="584"/>
      <c r="I68" s="584"/>
      <c r="J68" s="584"/>
      <c r="K68" s="584"/>
      <c r="L68" s="584"/>
      <c r="M68" s="584"/>
      <c r="N68" s="584"/>
      <c r="O68" s="584"/>
      <c r="P68" s="584"/>
      <c r="Q68" s="12"/>
    </row>
    <row r="69" spans="1:17" s="585" customFormat="1" ht="27" customHeight="1" x14ac:dyDescent="0.25">
      <c r="A69" s="584"/>
      <c r="B69" s="1991" t="s">
        <v>1695</v>
      </c>
      <c r="C69" s="1991"/>
      <c r="D69" s="1991"/>
      <c r="E69" s="1991"/>
      <c r="F69" s="1991"/>
      <c r="G69" s="1991"/>
      <c r="H69" s="1991"/>
      <c r="I69" s="1991"/>
      <c r="J69" s="1991"/>
      <c r="K69" s="1991"/>
      <c r="L69" s="1991"/>
      <c r="M69" s="1991"/>
      <c r="N69" s="1991"/>
      <c r="O69" s="1991"/>
      <c r="P69" s="1991"/>
      <c r="Q69" s="584"/>
    </row>
    <row r="70" spans="1:17" s="11" customFormat="1" ht="12" customHeight="1" x14ac:dyDescent="0.2">
      <c r="A70" s="12"/>
      <c r="B70" s="584"/>
      <c r="C70" s="584"/>
      <c r="D70" s="584"/>
      <c r="E70" s="584"/>
      <c r="F70" s="584"/>
      <c r="G70" s="584"/>
      <c r="H70" s="584"/>
      <c r="I70" s="584"/>
      <c r="J70" s="584"/>
      <c r="K70" s="584"/>
      <c r="L70" s="584"/>
      <c r="M70" s="584"/>
      <c r="N70" s="584"/>
      <c r="O70" s="584"/>
      <c r="P70" s="584"/>
      <c r="Q70" s="12"/>
    </row>
    <row r="71" spans="1:17" s="11" customFormat="1" ht="27" customHeight="1" x14ac:dyDescent="0.2">
      <c r="A71" s="12"/>
      <c r="B71" s="1991" t="s">
        <v>2156</v>
      </c>
      <c r="C71" s="1991"/>
      <c r="D71" s="1991"/>
      <c r="E71" s="1991"/>
      <c r="F71" s="1991"/>
      <c r="G71" s="1991"/>
      <c r="H71" s="1991"/>
      <c r="I71" s="1991"/>
      <c r="J71" s="1991"/>
      <c r="K71" s="1991"/>
      <c r="L71" s="1991"/>
      <c r="M71" s="1991"/>
      <c r="N71" s="1991"/>
      <c r="O71" s="1991"/>
      <c r="P71" s="1991"/>
      <c r="Q71" s="12"/>
    </row>
    <row r="72" spans="1:17" s="11" customFormat="1" ht="12" customHeight="1" x14ac:dyDescent="0.2">
      <c r="A72" s="12"/>
      <c r="B72" s="584"/>
      <c r="C72" s="584"/>
      <c r="D72" s="584"/>
      <c r="E72" s="584"/>
      <c r="F72" s="584"/>
      <c r="G72" s="584"/>
      <c r="H72" s="584"/>
      <c r="I72" s="584"/>
      <c r="J72" s="584"/>
      <c r="K72" s="584"/>
      <c r="L72" s="584"/>
      <c r="M72" s="584"/>
      <c r="N72" s="584"/>
      <c r="O72" s="584"/>
      <c r="P72" s="584"/>
      <c r="Q72" s="12"/>
    </row>
    <row r="73" spans="1:17" s="585" customFormat="1" ht="39" customHeight="1" x14ac:dyDescent="0.25">
      <c r="A73" s="584"/>
      <c r="B73" s="1991" t="s">
        <v>2217</v>
      </c>
      <c r="C73" s="1991"/>
      <c r="D73" s="1991"/>
      <c r="E73" s="1991"/>
      <c r="F73" s="1991"/>
      <c r="G73" s="1991"/>
      <c r="H73" s="1991"/>
      <c r="I73" s="1991"/>
      <c r="J73" s="1991"/>
      <c r="K73" s="1991"/>
      <c r="L73" s="1991"/>
      <c r="M73" s="1991"/>
      <c r="N73" s="1991"/>
      <c r="O73" s="1991"/>
      <c r="P73" s="1991"/>
      <c r="Q73" s="584"/>
    </row>
    <row r="74" spans="1:17" s="11" customFormat="1" ht="12" customHeight="1" x14ac:dyDescent="0.2">
      <c r="A74" s="12"/>
      <c r="B74" s="584"/>
      <c r="C74" s="584"/>
      <c r="D74" s="584"/>
      <c r="E74" s="584"/>
      <c r="F74" s="584"/>
      <c r="G74" s="584"/>
      <c r="H74" s="584"/>
      <c r="I74" s="584"/>
      <c r="J74" s="584"/>
      <c r="K74" s="584"/>
      <c r="L74" s="584"/>
      <c r="M74" s="584"/>
      <c r="N74" s="584"/>
      <c r="O74" s="584"/>
      <c r="P74" s="584"/>
      <c r="Q74" s="12"/>
    </row>
    <row r="75" spans="1:17" s="11" customFormat="1" ht="27" customHeight="1" x14ac:dyDescent="0.2">
      <c r="A75" s="12"/>
      <c r="B75" s="1991" t="s">
        <v>1696</v>
      </c>
      <c r="C75" s="1991"/>
      <c r="D75" s="1991"/>
      <c r="E75" s="1991"/>
      <c r="F75" s="1991"/>
      <c r="G75" s="1991"/>
      <c r="H75" s="1991"/>
      <c r="I75" s="1991"/>
      <c r="J75" s="1991"/>
      <c r="K75" s="1991"/>
      <c r="L75" s="1991"/>
      <c r="M75" s="1991"/>
      <c r="N75" s="1991"/>
      <c r="O75" s="1991"/>
      <c r="P75" s="1991"/>
      <c r="Q75" s="12"/>
    </row>
    <row r="76" spans="1:17" s="11" customFormat="1" ht="12" customHeight="1" x14ac:dyDescent="0.2">
      <c r="A76" s="12"/>
      <c r="B76" s="584"/>
      <c r="C76" s="584"/>
      <c r="D76" s="584"/>
      <c r="E76" s="584"/>
      <c r="F76" s="584"/>
      <c r="G76" s="584"/>
      <c r="H76" s="584"/>
      <c r="I76" s="584"/>
      <c r="J76" s="584"/>
      <c r="K76" s="584"/>
      <c r="L76" s="584"/>
      <c r="M76" s="584"/>
      <c r="N76" s="584"/>
      <c r="O76" s="584"/>
      <c r="P76" s="584"/>
      <c r="Q76" s="12"/>
    </row>
    <row r="77" spans="1:17" s="11" customFormat="1" ht="39.75" customHeight="1" x14ac:dyDescent="0.2">
      <c r="A77" s="12"/>
      <c r="B77" s="1991" t="s">
        <v>2155</v>
      </c>
      <c r="C77" s="1991"/>
      <c r="D77" s="1991"/>
      <c r="E77" s="1991"/>
      <c r="F77" s="1991"/>
      <c r="G77" s="1991"/>
      <c r="H77" s="1991"/>
      <c r="I77" s="1991"/>
      <c r="J77" s="1991"/>
      <c r="K77" s="1991"/>
      <c r="L77" s="1991"/>
      <c r="M77" s="1991"/>
      <c r="N77" s="1991"/>
      <c r="O77" s="1991"/>
      <c r="P77" s="1991"/>
      <c r="Q77" s="12"/>
    </row>
    <row r="78" spans="1:17" s="11" customFormat="1" ht="12" customHeight="1" x14ac:dyDescent="0.2">
      <c r="A78" s="12"/>
      <c r="B78" s="584"/>
      <c r="C78" s="584"/>
      <c r="D78" s="584"/>
      <c r="E78" s="584"/>
      <c r="F78" s="584"/>
      <c r="G78" s="584"/>
      <c r="H78" s="584"/>
      <c r="I78" s="584"/>
      <c r="J78" s="584"/>
      <c r="K78" s="584"/>
      <c r="L78" s="584"/>
      <c r="M78" s="584"/>
      <c r="N78" s="584"/>
      <c r="O78" s="584"/>
      <c r="P78" s="584"/>
      <c r="Q78" s="12"/>
    </row>
    <row r="79" spans="1:17" s="11" customFormat="1" ht="42" customHeight="1" x14ac:dyDescent="0.2">
      <c r="A79" s="12"/>
      <c r="B79" s="1991" t="s">
        <v>1697</v>
      </c>
      <c r="C79" s="1991"/>
      <c r="D79" s="1991"/>
      <c r="E79" s="1991"/>
      <c r="F79" s="1991"/>
      <c r="G79" s="1991"/>
      <c r="H79" s="1991"/>
      <c r="I79" s="1991"/>
      <c r="J79" s="1991"/>
      <c r="K79" s="1991"/>
      <c r="L79" s="1991"/>
      <c r="M79" s="1991"/>
      <c r="N79" s="1991"/>
      <c r="O79" s="1991"/>
      <c r="P79" s="1991"/>
      <c r="Q79" s="12"/>
    </row>
    <row r="80" spans="1:17" s="11" customFormat="1" ht="12" customHeight="1" x14ac:dyDescent="0.2">
      <c r="A80" s="12"/>
      <c r="B80" s="584"/>
      <c r="C80" s="584"/>
      <c r="D80" s="584"/>
      <c r="E80" s="584"/>
      <c r="F80" s="584"/>
      <c r="G80" s="584"/>
      <c r="H80" s="584"/>
      <c r="I80" s="584"/>
      <c r="J80" s="584"/>
      <c r="K80" s="584"/>
      <c r="L80" s="584"/>
      <c r="M80" s="584"/>
      <c r="N80" s="584"/>
      <c r="O80" s="584"/>
      <c r="P80" s="584"/>
      <c r="Q80" s="12"/>
    </row>
    <row r="81" spans="1:17" s="11" customFormat="1" ht="27" customHeight="1" x14ac:dyDescent="0.2">
      <c r="A81" s="12"/>
      <c r="B81" s="1991" t="s">
        <v>1698</v>
      </c>
      <c r="C81" s="1991"/>
      <c r="D81" s="1991"/>
      <c r="E81" s="1991"/>
      <c r="F81" s="1991"/>
      <c r="G81" s="1991"/>
      <c r="H81" s="1991"/>
      <c r="I81" s="1991"/>
      <c r="J81" s="1991"/>
      <c r="K81" s="1991"/>
      <c r="L81" s="1991"/>
      <c r="M81" s="1991"/>
      <c r="N81" s="1991"/>
      <c r="O81" s="1991"/>
      <c r="P81" s="1991"/>
      <c r="Q81" s="12"/>
    </row>
    <row r="82" spans="1:17" s="11" customFormat="1" ht="12" customHeight="1" x14ac:dyDescent="0.2">
      <c r="A82" s="12"/>
      <c r="B82" s="584"/>
      <c r="C82" s="584"/>
      <c r="D82" s="584"/>
      <c r="E82" s="584"/>
      <c r="F82" s="584"/>
      <c r="G82" s="584"/>
      <c r="H82" s="584"/>
      <c r="I82" s="584"/>
      <c r="J82" s="584"/>
      <c r="K82" s="584"/>
      <c r="L82" s="584"/>
      <c r="M82" s="584"/>
      <c r="N82" s="584"/>
      <c r="O82" s="584"/>
      <c r="P82" s="584"/>
      <c r="Q82" s="12"/>
    </row>
    <row r="83" spans="1:17" s="11" customFormat="1" ht="27" customHeight="1" x14ac:dyDescent="0.2">
      <c r="A83" s="12"/>
      <c r="B83" s="1991" t="s">
        <v>1699</v>
      </c>
      <c r="C83" s="1991"/>
      <c r="D83" s="1991"/>
      <c r="E83" s="1991"/>
      <c r="F83" s="1991"/>
      <c r="G83" s="1991"/>
      <c r="H83" s="1991"/>
      <c r="I83" s="1991"/>
      <c r="J83" s="1991"/>
      <c r="K83" s="1991"/>
      <c r="L83" s="1991"/>
      <c r="M83" s="1991"/>
      <c r="N83" s="1991"/>
      <c r="O83" s="1991"/>
      <c r="P83" s="1991"/>
      <c r="Q83" s="12"/>
    </row>
    <row r="84" spans="1:17" s="11" customFormat="1" ht="12" customHeight="1" x14ac:dyDescent="0.2">
      <c r="A84" s="12"/>
      <c r="B84" s="584"/>
      <c r="C84" s="584"/>
      <c r="D84" s="584"/>
      <c r="E84" s="584"/>
      <c r="F84" s="584"/>
      <c r="G84" s="584"/>
      <c r="H84" s="584"/>
      <c r="I84" s="584"/>
      <c r="J84" s="584"/>
      <c r="K84" s="584"/>
      <c r="L84" s="584"/>
      <c r="M84" s="584"/>
      <c r="N84" s="584"/>
      <c r="O84" s="584"/>
      <c r="P84" s="584"/>
      <c r="Q84" s="12"/>
    </row>
    <row r="85" spans="1:17" s="11" customFormat="1" ht="27" customHeight="1" x14ac:dyDescent="0.2">
      <c r="A85" s="12"/>
      <c r="B85" s="1991" t="s">
        <v>1700</v>
      </c>
      <c r="C85" s="1991"/>
      <c r="D85" s="1991"/>
      <c r="E85" s="1991"/>
      <c r="F85" s="1991"/>
      <c r="G85" s="1991"/>
      <c r="H85" s="1991"/>
      <c r="I85" s="1991"/>
      <c r="J85" s="1991"/>
      <c r="K85" s="1991"/>
      <c r="L85" s="1991"/>
      <c r="M85" s="1991"/>
      <c r="N85" s="1991"/>
      <c r="O85" s="1991"/>
      <c r="P85" s="1991"/>
      <c r="Q85" s="12"/>
    </row>
    <row r="86" spans="1:17" s="11" customFormat="1" ht="12" customHeight="1" x14ac:dyDescent="0.2">
      <c r="A86" s="12"/>
      <c r="B86" s="584"/>
      <c r="C86" s="584"/>
      <c r="D86" s="584"/>
      <c r="E86" s="584"/>
      <c r="F86" s="584"/>
      <c r="G86" s="584"/>
      <c r="H86" s="584"/>
      <c r="I86" s="584"/>
      <c r="J86" s="584"/>
      <c r="K86" s="584"/>
      <c r="L86" s="584"/>
      <c r="M86" s="584"/>
      <c r="N86" s="584"/>
      <c r="O86" s="584"/>
      <c r="P86" s="584"/>
      <c r="Q86" s="12"/>
    </row>
    <row r="87" spans="1:17" s="11" customFormat="1" ht="16.5" customHeight="1" x14ac:dyDescent="0.2">
      <c r="A87" s="12"/>
      <c r="B87" s="1991" t="s">
        <v>1701</v>
      </c>
      <c r="C87" s="1991"/>
      <c r="D87" s="1991"/>
      <c r="E87" s="1991"/>
      <c r="F87" s="1991"/>
      <c r="G87" s="1991"/>
      <c r="H87" s="1991"/>
      <c r="I87" s="1991"/>
      <c r="J87" s="1991"/>
      <c r="K87" s="1991"/>
      <c r="L87" s="1991"/>
      <c r="M87" s="1991"/>
      <c r="N87" s="1991"/>
      <c r="O87" s="1991"/>
      <c r="P87" s="1991"/>
      <c r="Q87" s="12"/>
    </row>
    <row r="88" spans="1:17" s="11" customFormat="1" ht="12" customHeight="1" x14ac:dyDescent="0.2">
      <c r="A88" s="12"/>
      <c r="B88" s="584"/>
      <c r="C88" s="584"/>
      <c r="D88" s="584"/>
      <c r="E88" s="584"/>
      <c r="F88" s="584"/>
      <c r="G88" s="584"/>
      <c r="H88" s="584"/>
      <c r="I88" s="584"/>
      <c r="J88" s="584"/>
      <c r="K88" s="584"/>
      <c r="L88" s="584"/>
      <c r="M88" s="584"/>
      <c r="N88" s="584"/>
      <c r="O88" s="584"/>
      <c r="P88" s="584"/>
      <c r="Q88" s="12"/>
    </row>
    <row r="89" spans="1:17" s="11" customFormat="1" ht="16.5" customHeight="1" x14ac:dyDescent="0.2">
      <c r="A89" s="12"/>
      <c r="B89" s="1991" t="s">
        <v>2218</v>
      </c>
      <c r="C89" s="1991"/>
      <c r="D89" s="1991"/>
      <c r="E89" s="1991"/>
      <c r="F89" s="1991"/>
      <c r="G89" s="1991"/>
      <c r="H89" s="1991"/>
      <c r="I89" s="1991"/>
      <c r="J89" s="1991"/>
      <c r="K89" s="1991"/>
      <c r="L89" s="1991"/>
      <c r="M89" s="1991"/>
      <c r="N89" s="1991"/>
      <c r="O89" s="1991"/>
      <c r="P89" s="1991"/>
      <c r="Q89" s="12"/>
    </row>
    <row r="90" spans="1:17" s="11" customFormat="1" ht="12" customHeight="1" x14ac:dyDescent="0.2">
      <c r="A90" s="12"/>
      <c r="B90" s="584"/>
      <c r="C90" s="584"/>
      <c r="D90" s="584"/>
      <c r="E90" s="584"/>
      <c r="F90" s="584"/>
      <c r="G90" s="584"/>
      <c r="H90" s="584"/>
      <c r="I90" s="584"/>
      <c r="J90" s="584"/>
      <c r="K90" s="584"/>
      <c r="L90" s="584"/>
      <c r="M90" s="584"/>
      <c r="N90" s="584"/>
      <c r="O90" s="584"/>
      <c r="P90" s="584"/>
      <c r="Q90" s="12"/>
    </row>
    <row r="91" spans="1:17" s="585" customFormat="1" ht="27" customHeight="1" x14ac:dyDescent="0.25">
      <c r="A91" s="584"/>
      <c r="B91" s="1991" t="s">
        <v>2153</v>
      </c>
      <c r="C91" s="1991"/>
      <c r="D91" s="1991"/>
      <c r="E91" s="1991"/>
      <c r="F91" s="1991"/>
      <c r="G91" s="1991"/>
      <c r="H91" s="1991"/>
      <c r="I91" s="1991"/>
      <c r="J91" s="1991"/>
      <c r="K91" s="1991"/>
      <c r="L91" s="1991"/>
      <c r="M91" s="1991"/>
      <c r="N91" s="1991"/>
      <c r="O91" s="1991"/>
      <c r="P91" s="1991"/>
      <c r="Q91" s="584"/>
    </row>
    <row r="92" spans="1:17" s="11" customFormat="1" ht="12" customHeight="1" x14ac:dyDescent="0.2">
      <c r="A92" s="12"/>
      <c r="B92" s="584"/>
      <c r="C92" s="584"/>
      <c r="D92" s="584"/>
      <c r="E92" s="584"/>
      <c r="F92" s="584"/>
      <c r="G92" s="584"/>
      <c r="H92" s="584"/>
      <c r="I92" s="584"/>
      <c r="J92" s="584"/>
      <c r="K92" s="584"/>
      <c r="L92" s="584"/>
      <c r="M92" s="584"/>
      <c r="N92" s="584"/>
      <c r="O92" s="584"/>
      <c r="P92" s="584"/>
      <c r="Q92" s="12"/>
    </row>
    <row r="93" spans="1:17" s="585" customFormat="1" ht="27" customHeight="1" x14ac:dyDescent="0.25">
      <c r="A93" s="584"/>
      <c r="B93" s="1991" t="s">
        <v>1702</v>
      </c>
      <c r="C93" s="1991"/>
      <c r="D93" s="1991"/>
      <c r="E93" s="1991"/>
      <c r="F93" s="1991"/>
      <c r="G93" s="1991"/>
      <c r="H93" s="1991"/>
      <c r="I93" s="1991"/>
      <c r="J93" s="1991"/>
      <c r="K93" s="1991"/>
      <c r="L93" s="1991"/>
      <c r="M93" s="1991"/>
      <c r="N93" s="1991"/>
      <c r="O93" s="1991"/>
      <c r="P93" s="1991"/>
      <c r="Q93" s="584"/>
    </row>
    <row r="94" spans="1:17" s="11" customFormat="1" ht="12" customHeight="1" x14ac:dyDescent="0.2">
      <c r="A94" s="12"/>
      <c r="B94" s="584"/>
      <c r="C94" s="584"/>
      <c r="D94" s="584"/>
      <c r="E94" s="584"/>
      <c r="F94" s="584"/>
      <c r="G94" s="584"/>
      <c r="H94" s="584"/>
      <c r="I94" s="584"/>
      <c r="J94" s="584"/>
      <c r="K94" s="584"/>
      <c r="L94" s="584"/>
      <c r="M94" s="584"/>
      <c r="N94" s="584"/>
      <c r="O94" s="584"/>
      <c r="P94" s="584"/>
      <c r="Q94" s="12"/>
    </row>
    <row r="95" spans="1:17" s="11" customFormat="1" ht="14.25" x14ac:dyDescent="0.2">
      <c r="A95" s="12"/>
      <c r="B95" s="1991" t="s">
        <v>1703</v>
      </c>
      <c r="C95" s="1991"/>
      <c r="D95" s="1991"/>
      <c r="E95" s="1991"/>
      <c r="F95" s="1991"/>
      <c r="G95" s="1991"/>
      <c r="H95" s="1991"/>
      <c r="I95" s="1991"/>
      <c r="J95" s="1991"/>
      <c r="K95" s="1991"/>
      <c r="L95" s="1991"/>
      <c r="M95" s="1991"/>
      <c r="N95" s="1991"/>
      <c r="O95" s="1991"/>
      <c r="P95" s="1991"/>
      <c r="Q95" s="12"/>
    </row>
    <row r="96" spans="1:17" s="11" customFormat="1" ht="12" customHeight="1" x14ac:dyDescent="0.2">
      <c r="A96" s="12"/>
      <c r="B96" s="584"/>
      <c r="C96" s="584"/>
      <c r="D96" s="584"/>
      <c r="E96" s="584"/>
      <c r="F96" s="584"/>
      <c r="G96" s="584"/>
      <c r="H96" s="584"/>
      <c r="I96" s="584"/>
      <c r="J96" s="584"/>
      <c r="K96" s="584"/>
      <c r="L96" s="584"/>
      <c r="M96" s="584"/>
      <c r="N96" s="584"/>
      <c r="O96" s="584"/>
      <c r="P96" s="584"/>
      <c r="Q96" s="12"/>
    </row>
    <row r="97" spans="1:17" s="585" customFormat="1" ht="51" customHeight="1" x14ac:dyDescent="0.25">
      <c r="A97" s="584"/>
      <c r="B97" s="1991" t="s">
        <v>2154</v>
      </c>
      <c r="C97" s="1991"/>
      <c r="D97" s="1991"/>
      <c r="E97" s="1991"/>
      <c r="F97" s="1991"/>
      <c r="G97" s="1991"/>
      <c r="H97" s="1991"/>
      <c r="I97" s="1991"/>
      <c r="J97" s="1991"/>
      <c r="K97" s="1991"/>
      <c r="L97" s="1991"/>
      <c r="M97" s="1991"/>
      <c r="N97" s="1991"/>
      <c r="O97" s="1991"/>
      <c r="P97" s="1991"/>
      <c r="Q97" s="584"/>
    </row>
    <row r="98" spans="1:17" s="11" customFormat="1" ht="12" customHeight="1" x14ac:dyDescent="0.2">
      <c r="A98" s="12"/>
      <c r="B98" s="584"/>
      <c r="C98" s="584"/>
      <c r="D98" s="584"/>
      <c r="E98" s="584"/>
      <c r="F98" s="584"/>
      <c r="G98" s="584"/>
      <c r="H98" s="584"/>
      <c r="I98" s="584"/>
      <c r="J98" s="584"/>
      <c r="K98" s="584"/>
      <c r="L98" s="584"/>
      <c r="M98" s="584"/>
      <c r="N98" s="584"/>
      <c r="O98" s="584"/>
      <c r="P98" s="584"/>
      <c r="Q98" s="12"/>
    </row>
    <row r="99" spans="1:17" s="11" customFormat="1" ht="42" customHeight="1" x14ac:dyDescent="0.2">
      <c r="A99" s="12"/>
      <c r="B99" s="1991" t="s">
        <v>2219</v>
      </c>
      <c r="C99" s="1991"/>
      <c r="D99" s="1991"/>
      <c r="E99" s="1991"/>
      <c r="F99" s="1991"/>
      <c r="G99" s="1991"/>
      <c r="H99" s="1991"/>
      <c r="I99" s="1991"/>
      <c r="J99" s="1991"/>
      <c r="K99" s="1991"/>
      <c r="L99" s="1991"/>
      <c r="M99" s="1991"/>
      <c r="N99" s="1991"/>
      <c r="O99" s="1991"/>
      <c r="P99" s="1991"/>
      <c r="Q99" s="12"/>
    </row>
    <row r="100" spans="1:17" s="11" customFormat="1" ht="12" customHeight="1" x14ac:dyDescent="0.2">
      <c r="A100" s="12"/>
      <c r="B100" s="584"/>
      <c r="C100" s="584"/>
      <c r="D100" s="584"/>
      <c r="E100" s="584"/>
      <c r="F100" s="584"/>
      <c r="G100" s="584"/>
      <c r="H100" s="584"/>
      <c r="I100" s="584"/>
      <c r="J100" s="584"/>
      <c r="K100" s="584"/>
      <c r="L100" s="584"/>
      <c r="M100" s="584"/>
      <c r="N100" s="584"/>
      <c r="O100" s="584"/>
      <c r="P100" s="584"/>
      <c r="Q100" s="12"/>
    </row>
    <row r="101" spans="1:17" s="11" customFormat="1" ht="42" customHeight="1" x14ac:dyDescent="0.2">
      <c r="A101" s="12"/>
      <c r="B101" s="1991" t="s">
        <v>1704</v>
      </c>
      <c r="C101" s="1991"/>
      <c r="D101" s="1991"/>
      <c r="E101" s="1991"/>
      <c r="F101" s="1991"/>
      <c r="G101" s="1991"/>
      <c r="H101" s="1991"/>
      <c r="I101" s="1991"/>
      <c r="J101" s="1991"/>
      <c r="K101" s="1991"/>
      <c r="L101" s="1991"/>
      <c r="M101" s="1991"/>
      <c r="N101" s="1991"/>
      <c r="O101" s="1991"/>
      <c r="P101" s="1991"/>
      <c r="Q101" s="12"/>
    </row>
    <row r="102" spans="1:17" s="11" customFormat="1" ht="12" customHeight="1" x14ac:dyDescent="0.2">
      <c r="A102" s="12"/>
      <c r="B102" s="584"/>
      <c r="C102" s="584"/>
      <c r="D102" s="584"/>
      <c r="E102" s="584"/>
      <c r="F102" s="584"/>
      <c r="G102" s="584"/>
      <c r="H102" s="584"/>
      <c r="I102" s="584"/>
      <c r="J102" s="584"/>
      <c r="K102" s="584"/>
      <c r="L102" s="584"/>
      <c r="M102" s="584"/>
      <c r="N102" s="584"/>
      <c r="O102" s="584"/>
      <c r="P102" s="584"/>
      <c r="Q102" s="12"/>
    </row>
    <row r="103" spans="1:17" s="11" customFormat="1" ht="141.75" customHeight="1" x14ac:dyDescent="0.2">
      <c r="A103" s="12"/>
      <c r="B103" s="1991" t="s">
        <v>2332</v>
      </c>
      <c r="C103" s="1991"/>
      <c r="D103" s="1991"/>
      <c r="E103" s="1991"/>
      <c r="F103" s="1991"/>
      <c r="G103" s="1991"/>
      <c r="H103" s="1991"/>
      <c r="I103" s="1991"/>
      <c r="J103" s="1991"/>
      <c r="K103" s="1991"/>
      <c r="L103" s="1991"/>
      <c r="M103" s="1991"/>
      <c r="N103" s="1991"/>
      <c r="O103" s="1991"/>
      <c r="P103" s="1991"/>
      <c r="Q103" s="12"/>
    </row>
    <row r="104" spans="1:17" s="11" customFormat="1" ht="12" customHeight="1" x14ac:dyDescent="0.2">
      <c r="A104" s="12"/>
      <c r="B104" s="584"/>
      <c r="C104" s="584"/>
      <c r="D104" s="584"/>
      <c r="E104" s="584"/>
      <c r="F104" s="584"/>
      <c r="G104" s="584"/>
      <c r="H104" s="584"/>
      <c r="I104" s="584"/>
      <c r="J104" s="584"/>
      <c r="K104" s="584"/>
      <c r="L104" s="584"/>
      <c r="M104" s="584"/>
      <c r="N104" s="584"/>
      <c r="O104" s="584"/>
      <c r="P104" s="584"/>
      <c r="Q104" s="12"/>
    </row>
    <row r="105" spans="1:17" s="11" customFormat="1" ht="28.5" customHeight="1" x14ac:dyDescent="0.2">
      <c r="A105" s="12"/>
      <c r="B105" s="1991" t="s">
        <v>2220</v>
      </c>
      <c r="C105" s="1991"/>
      <c r="D105" s="1991"/>
      <c r="E105" s="1991"/>
      <c r="F105" s="1991"/>
      <c r="G105" s="1991"/>
      <c r="H105" s="1991"/>
      <c r="I105" s="1991"/>
      <c r="J105" s="1991"/>
      <c r="K105" s="1991"/>
      <c r="L105" s="1991"/>
      <c r="M105" s="1991"/>
      <c r="N105" s="1991"/>
      <c r="O105" s="1991"/>
      <c r="P105" s="1991"/>
      <c r="Q105" s="12"/>
    </row>
    <row r="106" spans="1:17" s="11" customFormat="1" ht="12" customHeight="1" x14ac:dyDescent="0.2">
      <c r="A106" s="12"/>
      <c r="B106" s="584"/>
      <c r="C106" s="584"/>
      <c r="D106" s="584"/>
      <c r="E106" s="584"/>
      <c r="F106" s="584"/>
      <c r="G106" s="584"/>
      <c r="H106" s="584"/>
      <c r="I106" s="584"/>
      <c r="J106" s="584"/>
      <c r="K106" s="584"/>
      <c r="L106" s="584"/>
      <c r="M106" s="584"/>
      <c r="N106" s="584"/>
      <c r="O106" s="584"/>
      <c r="P106" s="584"/>
      <c r="Q106" s="12"/>
    </row>
    <row r="107" spans="1:17" s="11" customFormat="1" ht="42" customHeight="1" x14ac:dyDescent="0.2">
      <c r="A107" s="12"/>
      <c r="B107" s="1991" t="s">
        <v>1705</v>
      </c>
      <c r="C107" s="1991"/>
      <c r="D107" s="1991"/>
      <c r="E107" s="1991"/>
      <c r="F107" s="1991"/>
      <c r="G107" s="1991"/>
      <c r="H107" s="1991"/>
      <c r="I107" s="1991"/>
      <c r="J107" s="1991"/>
      <c r="K107" s="1991"/>
      <c r="L107" s="1991"/>
      <c r="M107" s="1991"/>
      <c r="N107" s="1991"/>
      <c r="O107" s="1991"/>
      <c r="P107" s="1991"/>
      <c r="Q107" s="12"/>
    </row>
    <row r="108" spans="1:17" s="11" customFormat="1" ht="12" customHeight="1" x14ac:dyDescent="0.2">
      <c r="A108" s="12"/>
      <c r="B108" s="584"/>
      <c r="C108" s="584"/>
      <c r="D108" s="584"/>
      <c r="E108" s="584"/>
      <c r="F108" s="584"/>
      <c r="G108" s="584"/>
      <c r="H108" s="584"/>
      <c r="I108" s="584"/>
      <c r="J108" s="584"/>
      <c r="K108" s="584"/>
      <c r="L108" s="584"/>
      <c r="M108" s="584"/>
      <c r="N108" s="584"/>
      <c r="O108" s="584"/>
      <c r="P108" s="584"/>
      <c r="Q108" s="12"/>
    </row>
    <row r="109" spans="1:17" s="11" customFormat="1" ht="28.5" customHeight="1" x14ac:dyDescent="0.2">
      <c r="A109" s="12"/>
      <c r="B109" s="1991" t="s">
        <v>2221</v>
      </c>
      <c r="C109" s="1991"/>
      <c r="D109" s="1991"/>
      <c r="E109" s="1991"/>
      <c r="F109" s="1991"/>
      <c r="G109" s="1991"/>
      <c r="H109" s="1991"/>
      <c r="I109" s="1991"/>
      <c r="J109" s="1991"/>
      <c r="K109" s="1991"/>
      <c r="L109" s="1991"/>
      <c r="M109" s="1991"/>
      <c r="N109" s="1991"/>
      <c r="O109" s="1991"/>
      <c r="P109" s="1991"/>
      <c r="Q109" s="12"/>
    </row>
    <row r="110" spans="1:17" s="11" customFormat="1" ht="12" customHeight="1" x14ac:dyDescent="0.2">
      <c r="A110" s="12"/>
      <c r="B110" s="584"/>
      <c r="C110" s="584"/>
      <c r="D110" s="584"/>
      <c r="E110" s="584"/>
      <c r="F110" s="584"/>
      <c r="G110" s="584"/>
      <c r="H110" s="584"/>
      <c r="I110" s="584"/>
      <c r="J110" s="584"/>
      <c r="K110" s="584"/>
      <c r="L110" s="584"/>
      <c r="M110" s="584"/>
      <c r="N110" s="584"/>
      <c r="O110" s="584"/>
      <c r="P110" s="584"/>
      <c r="Q110" s="12"/>
    </row>
    <row r="111" spans="1:17" s="11" customFormat="1" ht="15" customHeight="1" x14ac:dyDescent="0.2">
      <c r="A111" s="12"/>
      <c r="B111" s="1991" t="s">
        <v>1706</v>
      </c>
      <c r="C111" s="1991"/>
      <c r="D111" s="1991"/>
      <c r="E111" s="1991"/>
      <c r="F111" s="1991"/>
      <c r="G111" s="1991"/>
      <c r="H111" s="1991"/>
      <c r="I111" s="1991"/>
      <c r="J111" s="1991"/>
      <c r="K111" s="1991"/>
      <c r="L111" s="1991"/>
      <c r="M111" s="1991"/>
      <c r="N111" s="1991"/>
      <c r="O111" s="1991"/>
      <c r="P111" s="1991"/>
      <c r="Q111" s="12"/>
    </row>
    <row r="112" spans="1:17" s="11" customFormat="1" ht="12" customHeight="1" x14ac:dyDescent="0.2">
      <c r="A112" s="12"/>
      <c r="B112" s="584"/>
      <c r="C112" s="584"/>
      <c r="D112" s="584"/>
      <c r="E112" s="584"/>
      <c r="F112" s="584"/>
      <c r="G112" s="584"/>
      <c r="H112" s="584"/>
      <c r="I112" s="584"/>
      <c r="J112" s="584"/>
      <c r="K112" s="584"/>
      <c r="L112" s="584"/>
      <c r="M112" s="584"/>
      <c r="N112" s="584"/>
      <c r="O112" s="584"/>
      <c r="P112" s="584"/>
      <c r="Q112" s="12"/>
    </row>
    <row r="113" spans="1:17" s="11" customFormat="1" ht="12" customHeight="1" x14ac:dyDescent="0.2">
      <c r="A113" s="12"/>
      <c r="B113" s="1991" t="s">
        <v>1707</v>
      </c>
      <c r="C113" s="1991"/>
      <c r="D113" s="1991"/>
      <c r="E113" s="1991"/>
      <c r="F113" s="1991"/>
      <c r="G113" s="1991"/>
      <c r="H113" s="1991"/>
      <c r="I113" s="1991"/>
      <c r="J113" s="1991"/>
      <c r="K113" s="1991"/>
      <c r="L113" s="1991"/>
      <c r="M113" s="1991"/>
      <c r="N113" s="1991"/>
      <c r="O113" s="1991"/>
      <c r="P113" s="1991"/>
      <c r="Q113" s="12"/>
    </row>
    <row r="114" spans="1:17" s="11" customFormat="1" ht="12" customHeight="1" x14ac:dyDescent="0.2">
      <c r="A114" s="12"/>
      <c r="B114" s="584"/>
      <c r="C114" s="584"/>
      <c r="D114" s="584"/>
      <c r="E114" s="584"/>
      <c r="F114" s="584"/>
      <c r="G114" s="584"/>
      <c r="H114" s="584"/>
      <c r="I114" s="584"/>
      <c r="J114" s="584"/>
      <c r="K114" s="584"/>
      <c r="L114" s="584"/>
      <c r="M114" s="584"/>
      <c r="N114" s="584"/>
      <c r="O114" s="584"/>
      <c r="P114" s="584"/>
      <c r="Q114" s="12"/>
    </row>
    <row r="115" spans="1:17" s="585" customFormat="1" ht="27" customHeight="1" x14ac:dyDescent="0.25">
      <c r="A115" s="584"/>
      <c r="B115" s="1991" t="s">
        <v>1708</v>
      </c>
      <c r="C115" s="1991"/>
      <c r="D115" s="1991"/>
      <c r="E115" s="1991"/>
      <c r="F115" s="1991"/>
      <c r="G115" s="1991"/>
      <c r="H115" s="1991"/>
      <c r="I115" s="1991"/>
      <c r="J115" s="1991"/>
      <c r="K115" s="1991"/>
      <c r="L115" s="1991"/>
      <c r="M115" s="1991"/>
      <c r="N115" s="1991"/>
      <c r="O115" s="1991"/>
      <c r="P115" s="1991"/>
      <c r="Q115" s="584"/>
    </row>
    <row r="116" spans="1:17" s="11" customFormat="1" ht="12" customHeight="1" x14ac:dyDescent="0.2">
      <c r="A116" s="12"/>
      <c r="B116" s="584"/>
      <c r="C116" s="584"/>
      <c r="D116" s="584"/>
      <c r="E116" s="584"/>
      <c r="F116" s="584"/>
      <c r="G116" s="584"/>
      <c r="H116" s="584"/>
      <c r="I116" s="584"/>
      <c r="J116" s="584"/>
      <c r="K116" s="584"/>
      <c r="L116" s="584"/>
      <c r="M116" s="584"/>
      <c r="N116" s="584"/>
      <c r="O116" s="584"/>
      <c r="P116" s="584"/>
      <c r="Q116" s="12"/>
    </row>
    <row r="117" spans="1:17" s="11" customFormat="1" ht="15" customHeight="1" x14ac:dyDescent="0.2">
      <c r="A117" s="12"/>
      <c r="B117" s="2550" t="s">
        <v>1709</v>
      </c>
      <c r="C117" s="2550"/>
      <c r="D117" s="2550"/>
      <c r="E117" s="2550"/>
      <c r="F117" s="2550"/>
      <c r="G117" s="2550"/>
      <c r="H117" s="2550"/>
      <c r="I117" s="2550"/>
      <c r="J117" s="2550"/>
      <c r="K117" s="2550"/>
      <c r="L117" s="2550"/>
      <c r="M117" s="2550"/>
      <c r="N117" s="2550"/>
      <c r="O117" s="2550"/>
      <c r="P117" s="2550"/>
      <c r="Q117" s="12"/>
    </row>
    <row r="118" spans="1:17" s="11" customFormat="1" ht="12" customHeight="1" x14ac:dyDescent="0.2">
      <c r="A118" s="12"/>
      <c r="B118" s="584"/>
      <c r="C118" s="584"/>
      <c r="D118" s="584"/>
      <c r="E118" s="584"/>
      <c r="F118" s="584"/>
      <c r="G118" s="584"/>
      <c r="H118" s="584"/>
      <c r="I118" s="584"/>
      <c r="J118" s="584"/>
      <c r="K118" s="584"/>
      <c r="L118" s="584"/>
      <c r="M118" s="584"/>
      <c r="N118" s="584"/>
      <c r="O118" s="584"/>
      <c r="P118" s="584"/>
      <c r="Q118" s="12"/>
    </row>
    <row r="119" spans="1:17" s="11" customFormat="1" ht="14.25" x14ac:dyDescent="0.2">
      <c r="A119" s="12"/>
      <c r="B119" s="2551" t="s">
        <v>2157</v>
      </c>
      <c r="C119" s="2551"/>
      <c r="D119" s="2551"/>
      <c r="E119" s="2551"/>
      <c r="F119" s="2551"/>
      <c r="G119" s="2551"/>
      <c r="H119" s="2551"/>
      <c r="I119" s="2551"/>
      <c r="J119" s="2551"/>
      <c r="K119" s="2551"/>
      <c r="L119" s="2551"/>
      <c r="M119" s="2551"/>
      <c r="N119" s="2551"/>
      <c r="O119" s="2551"/>
      <c r="P119" s="2551"/>
      <c r="Q119" s="12"/>
    </row>
    <row r="120" spans="1:17" s="11" customFormat="1" ht="12" customHeight="1" x14ac:dyDescent="0.2">
      <c r="A120" s="12"/>
      <c r="B120" s="584"/>
      <c r="C120" s="584"/>
      <c r="D120" s="584"/>
      <c r="E120" s="584"/>
      <c r="F120" s="584"/>
      <c r="G120" s="584"/>
      <c r="H120" s="584"/>
      <c r="I120" s="584"/>
      <c r="J120" s="584"/>
      <c r="K120" s="584"/>
      <c r="L120" s="584"/>
      <c r="M120" s="584"/>
      <c r="N120" s="584"/>
      <c r="O120" s="584"/>
      <c r="P120" s="584"/>
      <c r="Q120" s="12"/>
    </row>
    <row r="121" spans="1:17" s="11" customFormat="1" ht="66" customHeight="1" x14ac:dyDescent="0.2">
      <c r="A121" s="12"/>
      <c r="B121" s="2551" t="s">
        <v>2158</v>
      </c>
      <c r="C121" s="2551"/>
      <c r="D121" s="2551"/>
      <c r="E121" s="2551"/>
      <c r="F121" s="2551"/>
      <c r="G121" s="2551"/>
      <c r="H121" s="2551"/>
      <c r="I121" s="2551"/>
      <c r="J121" s="2551"/>
      <c r="K121" s="2551"/>
      <c r="L121" s="2551"/>
      <c r="M121" s="2551"/>
      <c r="N121" s="2551"/>
      <c r="O121" s="2551"/>
      <c r="P121" s="2551"/>
      <c r="Q121" s="12"/>
    </row>
    <row r="122" spans="1:17" s="11" customFormat="1" ht="12" customHeight="1" x14ac:dyDescent="0.2">
      <c r="A122" s="12"/>
      <c r="B122" s="584"/>
      <c r="C122" s="584"/>
      <c r="D122" s="584"/>
      <c r="E122" s="584"/>
      <c r="F122" s="584"/>
      <c r="G122" s="584"/>
      <c r="H122" s="584"/>
      <c r="I122" s="584"/>
      <c r="J122" s="584"/>
      <c r="K122" s="584"/>
      <c r="L122" s="584"/>
      <c r="M122" s="584"/>
      <c r="N122" s="584"/>
      <c r="O122" s="584"/>
      <c r="P122" s="584"/>
      <c r="Q122" s="12"/>
    </row>
    <row r="123" spans="1:17" s="585" customFormat="1" ht="27" customHeight="1" x14ac:dyDescent="0.25">
      <c r="A123" s="584"/>
      <c r="B123" s="1991" t="s">
        <v>2159</v>
      </c>
      <c r="C123" s="1991"/>
      <c r="D123" s="1991"/>
      <c r="E123" s="1991"/>
      <c r="F123" s="1991"/>
      <c r="G123" s="1991"/>
      <c r="H123" s="1991"/>
      <c r="I123" s="1991"/>
      <c r="J123" s="1991"/>
      <c r="K123" s="1991"/>
      <c r="L123" s="1991"/>
      <c r="M123" s="1991"/>
      <c r="N123" s="1991"/>
      <c r="O123" s="1991"/>
      <c r="P123" s="1991"/>
      <c r="Q123" s="584"/>
    </row>
    <row r="124" spans="1:17" s="11" customFormat="1" ht="12" customHeight="1" x14ac:dyDescent="0.2">
      <c r="A124" s="12"/>
      <c r="B124" s="584"/>
      <c r="C124" s="584"/>
      <c r="D124" s="584"/>
      <c r="E124" s="584"/>
      <c r="F124" s="584"/>
      <c r="G124" s="584"/>
      <c r="H124" s="584"/>
      <c r="I124" s="584"/>
      <c r="J124" s="584"/>
      <c r="K124" s="584"/>
      <c r="L124" s="584"/>
      <c r="M124" s="584"/>
      <c r="N124" s="584"/>
      <c r="O124" s="584"/>
      <c r="P124" s="584"/>
      <c r="Q124" s="12"/>
    </row>
    <row r="125" spans="1:17" s="11" customFormat="1" ht="27" customHeight="1" x14ac:dyDescent="0.2">
      <c r="A125" s="12"/>
      <c r="B125" s="2551" t="s">
        <v>1710</v>
      </c>
      <c r="C125" s="2551"/>
      <c r="D125" s="2551"/>
      <c r="E125" s="2551"/>
      <c r="F125" s="2551"/>
      <c r="G125" s="2551"/>
      <c r="H125" s="2551"/>
      <c r="I125" s="2551"/>
      <c r="J125" s="2551"/>
      <c r="K125" s="2551"/>
      <c r="L125" s="2551"/>
      <c r="M125" s="2551"/>
      <c r="N125" s="2551"/>
      <c r="O125" s="2551"/>
      <c r="P125" s="2551"/>
      <c r="Q125" s="12"/>
    </row>
    <row r="126" spans="1:17" s="11" customFormat="1" ht="12" customHeight="1" x14ac:dyDescent="0.2">
      <c r="A126" s="12"/>
      <c r="B126" s="584"/>
      <c r="C126" s="584"/>
      <c r="D126" s="584"/>
      <c r="E126" s="584"/>
      <c r="F126" s="584"/>
      <c r="G126" s="584"/>
      <c r="H126" s="584"/>
      <c r="I126" s="584"/>
      <c r="J126" s="584"/>
      <c r="K126" s="584"/>
      <c r="L126" s="584"/>
      <c r="M126" s="584"/>
      <c r="N126" s="584"/>
      <c r="O126" s="584"/>
      <c r="P126" s="584"/>
      <c r="Q126" s="12"/>
    </row>
    <row r="127" spans="1:17" s="585" customFormat="1" ht="27" customHeight="1" x14ac:dyDescent="0.25">
      <c r="A127" s="584"/>
      <c r="B127" s="1991" t="s">
        <v>1711</v>
      </c>
      <c r="C127" s="1991"/>
      <c r="D127" s="1991"/>
      <c r="E127" s="1991"/>
      <c r="F127" s="1991"/>
      <c r="G127" s="1991"/>
      <c r="H127" s="1991"/>
      <c r="I127" s="1991"/>
      <c r="J127" s="1991"/>
      <c r="K127" s="1991"/>
      <c r="L127" s="1991"/>
      <c r="M127" s="1991"/>
      <c r="N127" s="1991"/>
      <c r="O127" s="1991"/>
      <c r="P127" s="1991"/>
      <c r="Q127" s="584"/>
    </row>
    <row r="128" spans="1:17" s="11" customFormat="1" ht="12" customHeight="1" x14ac:dyDescent="0.2">
      <c r="A128" s="12"/>
      <c r="B128" s="584"/>
      <c r="C128" s="584"/>
      <c r="D128" s="584"/>
      <c r="E128" s="584"/>
      <c r="F128" s="584"/>
      <c r="G128" s="584"/>
      <c r="H128" s="584"/>
      <c r="I128" s="584"/>
      <c r="J128" s="584"/>
      <c r="K128" s="584"/>
      <c r="L128" s="584"/>
      <c r="M128" s="584"/>
      <c r="N128" s="584"/>
      <c r="O128" s="584"/>
      <c r="P128" s="584"/>
      <c r="Q128" s="12"/>
    </row>
    <row r="129" spans="1:17" s="585" customFormat="1" ht="27" customHeight="1" x14ac:dyDescent="0.25">
      <c r="A129" s="584"/>
      <c r="B129" s="1991" t="s">
        <v>2160</v>
      </c>
      <c r="C129" s="1991"/>
      <c r="D129" s="1991"/>
      <c r="E129" s="1991"/>
      <c r="F129" s="1991"/>
      <c r="G129" s="1991"/>
      <c r="H129" s="1991"/>
      <c r="I129" s="1991"/>
      <c r="J129" s="1991"/>
      <c r="K129" s="1991"/>
      <c r="L129" s="1991"/>
      <c r="M129" s="1991"/>
      <c r="N129" s="1991"/>
      <c r="O129" s="1991"/>
      <c r="P129" s="1991"/>
      <c r="Q129" s="584"/>
    </row>
    <row r="130" spans="1:17" s="11" customFormat="1" ht="12" customHeight="1" x14ac:dyDescent="0.2">
      <c r="A130" s="12"/>
      <c r="B130" s="584"/>
      <c r="C130" s="584"/>
      <c r="D130" s="584"/>
      <c r="E130" s="584"/>
      <c r="F130" s="584"/>
      <c r="G130" s="584"/>
      <c r="H130" s="584"/>
      <c r="I130" s="584"/>
      <c r="J130" s="584"/>
      <c r="K130" s="584"/>
      <c r="L130" s="584"/>
      <c r="M130" s="584"/>
      <c r="N130" s="584"/>
      <c r="O130" s="584"/>
      <c r="P130" s="584"/>
      <c r="Q130" s="12"/>
    </row>
    <row r="131" spans="1:17" s="585" customFormat="1" ht="14.25" x14ac:dyDescent="0.25">
      <c r="A131" s="584"/>
      <c r="B131" s="2554" t="s">
        <v>2161</v>
      </c>
      <c r="C131" s="1991"/>
      <c r="D131" s="1991"/>
      <c r="E131" s="1991"/>
      <c r="F131" s="1991"/>
      <c r="G131" s="1991"/>
      <c r="H131" s="1991"/>
      <c r="I131" s="1991"/>
      <c r="J131" s="1991"/>
      <c r="K131" s="1991"/>
      <c r="L131" s="1991"/>
      <c r="M131" s="1991"/>
      <c r="N131" s="1991"/>
      <c r="O131" s="1991"/>
      <c r="P131" s="1991"/>
      <c r="Q131" s="584"/>
    </row>
    <row r="132" spans="1:17" s="11" customFormat="1" ht="12" customHeight="1" x14ac:dyDescent="0.2">
      <c r="A132" s="12"/>
      <c r="B132" s="584"/>
      <c r="C132" s="584"/>
      <c r="D132" s="584"/>
      <c r="E132" s="584"/>
      <c r="F132" s="584"/>
      <c r="G132" s="584"/>
      <c r="H132" s="584"/>
      <c r="I132" s="584"/>
      <c r="J132" s="584"/>
      <c r="K132" s="584"/>
      <c r="L132" s="584"/>
      <c r="M132" s="584"/>
      <c r="N132" s="584"/>
      <c r="O132" s="584"/>
      <c r="P132" s="584"/>
      <c r="Q132" s="12"/>
    </row>
    <row r="133" spans="1:17" s="11" customFormat="1" ht="15" customHeight="1" x14ac:dyDescent="0.2">
      <c r="A133" s="12"/>
      <c r="B133" s="2550" t="s">
        <v>1712</v>
      </c>
      <c r="C133" s="2550"/>
      <c r="D133" s="2550"/>
      <c r="E133" s="2550"/>
      <c r="F133" s="2550"/>
      <c r="G133" s="2550"/>
      <c r="H133" s="2550"/>
      <c r="I133" s="2550"/>
      <c r="J133" s="2550"/>
      <c r="K133" s="2550"/>
      <c r="L133" s="2550"/>
      <c r="M133" s="2550"/>
      <c r="N133" s="2550"/>
      <c r="O133" s="2550"/>
      <c r="P133" s="2550"/>
      <c r="Q133" s="12"/>
    </row>
    <row r="134" spans="1:17" s="11" customFormat="1" ht="15" customHeight="1" x14ac:dyDescent="0.2">
      <c r="A134" s="208"/>
      <c r="B134" s="208"/>
      <c r="C134" s="208"/>
      <c r="D134" s="208"/>
      <c r="E134" s="208"/>
      <c r="F134" s="208"/>
      <c r="G134" s="208"/>
      <c r="H134" s="208"/>
      <c r="I134" s="208"/>
      <c r="J134" s="208"/>
      <c r="K134" s="208"/>
      <c r="L134" s="208"/>
      <c r="M134" s="208"/>
      <c r="N134" s="208"/>
      <c r="O134" s="208"/>
      <c r="P134" s="208"/>
      <c r="Q134" s="208"/>
    </row>
    <row r="135" spans="1:17" ht="15" hidden="1" customHeight="1" x14ac:dyDescent="0.25"/>
    <row r="136" spans="1:17" ht="15" hidden="1" customHeight="1" x14ac:dyDescent="0.25"/>
    <row r="137" spans="1:17" ht="15" hidden="1" customHeight="1" x14ac:dyDescent="0.25"/>
    <row r="138" spans="1:17" ht="15" hidden="1" customHeight="1" x14ac:dyDescent="0.25"/>
    <row r="139" spans="1:17" ht="15" hidden="1" customHeight="1" x14ac:dyDescent="0.25"/>
    <row r="140" spans="1:17" ht="15" hidden="1" customHeight="1" x14ac:dyDescent="0.25"/>
    <row r="141" spans="1:17" ht="15" hidden="1" customHeight="1" x14ac:dyDescent="0.25"/>
    <row r="142" spans="1:17" ht="15" hidden="1" customHeight="1" x14ac:dyDescent="0.25"/>
    <row r="143" spans="1:17" ht="15" hidden="1" customHeight="1" x14ac:dyDescent="0.25"/>
    <row r="144" spans="1:17"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sheetData>
  <sheetProtection algorithmName="SHA-512" hashValue="0tqE1xUUoFIDQmkmD0PZv4uU4M5JNtE/PhLX3EllVYZ8+Snocjon3fWMKcDX+FgmqUhQ3DWQxlY4wTHw5EDqhA==" saltValue="hTTQW9uaV15kmcRN6mN8VQ==" spinCount="100000" sheet="1" objects="1" scenarios="1" formatRows="0"/>
  <mergeCells count="69">
    <mergeCell ref="B129:P129"/>
    <mergeCell ref="B131:P131"/>
    <mergeCell ref="B63:P63"/>
    <mergeCell ref="B71:P71"/>
    <mergeCell ref="B77:P77"/>
    <mergeCell ref="B97:P97"/>
    <mergeCell ref="B119:P119"/>
    <mergeCell ref="B65:P65"/>
    <mergeCell ref="B73:P73"/>
    <mergeCell ref="B89:P89"/>
    <mergeCell ref="B99:P99"/>
    <mergeCell ref="B105:P105"/>
    <mergeCell ref="B109:P109"/>
    <mergeCell ref="B103:P103"/>
    <mergeCell ref="B42:P42"/>
    <mergeCell ref="B44:P44"/>
    <mergeCell ref="B121:P121"/>
    <mergeCell ref="B123:P123"/>
    <mergeCell ref="B57:P57"/>
    <mergeCell ref="B26:P26"/>
    <mergeCell ref="B28:P28"/>
    <mergeCell ref="B30:P30"/>
    <mergeCell ref="A38:Q38"/>
    <mergeCell ref="B40:P40"/>
    <mergeCell ref="A1:Q1"/>
    <mergeCell ref="B8:P8"/>
    <mergeCell ref="B10:P10"/>
    <mergeCell ref="B20:P20"/>
    <mergeCell ref="B18:P18"/>
    <mergeCell ref="B12:P12"/>
    <mergeCell ref="B14:P14"/>
    <mergeCell ref="B16:P16"/>
    <mergeCell ref="B2:D2"/>
    <mergeCell ref="A4:Q4"/>
    <mergeCell ref="F2:I2"/>
    <mergeCell ref="K2:N2"/>
    <mergeCell ref="B6:P6"/>
    <mergeCell ref="B133:P133"/>
    <mergeCell ref="B34:P34"/>
    <mergeCell ref="B32:P32"/>
    <mergeCell ref="B36:P36"/>
    <mergeCell ref="B127:P127"/>
    <mergeCell ref="B48:P48"/>
    <mergeCell ref="B55:P55"/>
    <mergeCell ref="B91:P91"/>
    <mergeCell ref="B93:P93"/>
    <mergeCell ref="B95:P95"/>
    <mergeCell ref="B125:P125"/>
    <mergeCell ref="B117:P117"/>
    <mergeCell ref="B115:P115"/>
    <mergeCell ref="B53:P53"/>
    <mergeCell ref="B50:P51"/>
    <mergeCell ref="B46:P46"/>
    <mergeCell ref="B22:P22"/>
    <mergeCell ref="B113:P113"/>
    <mergeCell ref="A61:Q61"/>
    <mergeCell ref="B111:P111"/>
    <mergeCell ref="B67:P67"/>
    <mergeCell ref="B69:P69"/>
    <mergeCell ref="B75:P75"/>
    <mergeCell ref="B101:P101"/>
    <mergeCell ref="B79:P79"/>
    <mergeCell ref="B81:P81"/>
    <mergeCell ref="B83:P83"/>
    <mergeCell ref="B85:P85"/>
    <mergeCell ref="B87:P87"/>
    <mergeCell ref="B107:P107"/>
    <mergeCell ref="B59:P59"/>
    <mergeCell ref="B24:P24"/>
  </mergeCells>
  <hyperlinks>
    <hyperlink ref="B2:C2" location="Introduction!B69" tooltip="Certification Process" display="6. Certification Process" xr:uid="{00000000-0004-0000-3700-000000000000}"/>
    <hyperlink ref="B2:D2" location="Glossary!A4:B37" tooltip="1. Specific LOTUS Terms" display="1. Specific LOTUS Terms" xr:uid="{00000000-0004-0000-3700-000001000000}"/>
    <hyperlink ref="F2:G2" location="Introduction!B69" tooltip="Certification Process" display="6. Certification Process" xr:uid="{00000000-0004-0000-3700-000002000000}"/>
    <hyperlink ref="F2:H2" location="Glossary!A36:A54" tooltip="2. LOTUS Submission terms" display="2. LOTUS Submission terms" xr:uid="{00000000-0004-0000-3700-000003000000}"/>
    <hyperlink ref="K2:L2" location="Introduction!B69" tooltip="Certification Process" display="6. Certification Process" xr:uid="{00000000-0004-0000-3700-000004000000}"/>
    <hyperlink ref="K2:M2" location="Glossary!A36:A54" tooltip="2. LOTUS Submission terms" display="2. LOTUS Submission terms" xr:uid="{00000000-0004-0000-3700-000005000000}"/>
    <hyperlink ref="K2:N2" location="Glossary!A61:A134" tooltip="3. Technical terms" display="3. Technical terms" xr:uid="{00000000-0004-0000-3700-000006000000}"/>
    <hyperlink ref="F2:I2" location="Glossary!A38:A60" tooltip="2. LOTUS Submission terms" display="2. LOTUS Submission terms" xr:uid="{00000000-0004-0000-3700-000007000000}"/>
  </hyperlinks>
  <pageMargins left="0.7" right="0.7" top="0.75" bottom="0.75" header="0.3" footer="0.3"/>
  <pageSetup orientation="portrait" horizontalDpi="30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7">
    <tabColor rgb="FF984806"/>
  </sheetPr>
  <dimension ref="A1:S270"/>
  <sheetViews>
    <sheetView showRowColHeaders="0" zoomScaleNormal="100" workbookViewId="0">
      <pane ySplit="1" topLeftCell="A2" activePane="bottomLeft" state="frozen"/>
      <selection pane="bottomLeft" activeCell="A73" sqref="A73:Q87"/>
    </sheetView>
  </sheetViews>
  <sheetFormatPr defaultColWidth="0" defaultRowHeight="15" zeroHeight="1" x14ac:dyDescent="0.25"/>
  <cols>
    <col min="1" max="1" width="4.140625" customWidth="1"/>
    <col min="2" max="3" width="11.85546875" customWidth="1"/>
    <col min="4" max="17" width="9.140625" customWidth="1"/>
    <col min="18" max="16384" width="9.140625" hidden="1"/>
  </cols>
  <sheetData>
    <row r="1" spans="1:18" s="704" customFormat="1" ht="30" customHeight="1" x14ac:dyDescent="0.2">
      <c r="A1" s="1372" t="s">
        <v>112</v>
      </c>
      <c r="B1" s="1372"/>
      <c r="C1" s="1372"/>
      <c r="D1" s="1372"/>
      <c r="E1" s="1372"/>
      <c r="F1" s="1372"/>
      <c r="G1" s="1372"/>
      <c r="H1" s="1372"/>
      <c r="I1" s="1372"/>
      <c r="J1" s="1372"/>
      <c r="K1" s="1372"/>
      <c r="L1" s="1372"/>
      <c r="M1" s="1372"/>
      <c r="N1" s="1372"/>
      <c r="O1" s="1372"/>
      <c r="P1" s="1372"/>
      <c r="Q1" s="1372"/>
    </row>
    <row r="2" spans="1:18" s="11" customFormat="1" ht="21.75" customHeight="1" x14ac:dyDescent="0.2">
      <c r="A2" s="12"/>
      <c r="B2" s="12"/>
      <c r="C2" s="12"/>
      <c r="D2" s="13"/>
      <c r="E2" s="13"/>
      <c r="F2" s="13"/>
      <c r="G2" s="13"/>
      <c r="H2" s="13"/>
      <c r="I2" s="13"/>
      <c r="J2" s="13"/>
      <c r="K2" s="13"/>
      <c r="L2" s="13"/>
      <c r="M2" s="13"/>
      <c r="N2" s="13"/>
      <c r="O2" s="13"/>
      <c r="P2" s="13"/>
      <c r="Q2" s="13"/>
    </row>
    <row r="3" spans="1:18" s="11" customFormat="1" ht="23.25" customHeight="1" x14ac:dyDescent="0.2">
      <c r="A3" s="2577" t="s">
        <v>1104</v>
      </c>
      <c r="B3" s="2577"/>
      <c r="C3" s="2577"/>
      <c r="D3" s="2577"/>
      <c r="E3" s="2577"/>
      <c r="F3" s="2577"/>
      <c r="G3" s="13"/>
      <c r="H3" s="13"/>
      <c r="I3" s="13"/>
      <c r="J3" s="13"/>
      <c r="K3" s="13"/>
      <c r="L3" s="13"/>
      <c r="M3" s="13"/>
      <c r="N3" s="13"/>
      <c r="O3" s="13"/>
      <c r="P3" s="13"/>
      <c r="Q3" s="13"/>
    </row>
    <row r="4" spans="1:18" s="11" customFormat="1" ht="20.25" customHeight="1" x14ac:dyDescent="0.2">
      <c r="A4" s="12"/>
      <c r="B4" s="12"/>
      <c r="C4" s="12"/>
      <c r="D4" s="13"/>
      <c r="E4" s="13"/>
      <c r="F4" s="13"/>
      <c r="G4" s="13"/>
      <c r="H4" s="13"/>
      <c r="I4" s="13"/>
      <c r="J4" s="13"/>
      <c r="K4" s="13"/>
      <c r="L4" s="13"/>
      <c r="M4" s="13"/>
      <c r="N4" s="13"/>
      <c r="O4" s="13"/>
      <c r="P4" s="13"/>
      <c r="Q4" s="13"/>
    </row>
    <row r="5" spans="1:18" s="11" customFormat="1" ht="20.25" customHeight="1" x14ac:dyDescent="0.2">
      <c r="A5" s="12"/>
      <c r="B5" s="2583" t="s">
        <v>1129</v>
      </c>
      <c r="C5" s="2583"/>
      <c r="D5" s="2583"/>
      <c r="E5" s="2583"/>
      <c r="F5" s="2583"/>
      <c r="G5" s="2583"/>
      <c r="H5" s="2583"/>
      <c r="I5" s="2583"/>
      <c r="J5" s="13"/>
      <c r="K5" s="13"/>
      <c r="L5" s="13"/>
      <c r="M5" s="13"/>
      <c r="N5" s="13"/>
      <c r="O5" s="13"/>
      <c r="P5" s="13"/>
      <c r="Q5" s="13"/>
    </row>
    <row r="6" spans="1:18" s="11" customFormat="1" ht="18" customHeight="1" x14ac:dyDescent="0.2">
      <c r="A6" s="12"/>
      <c r="B6" s="2579" t="s">
        <v>1105</v>
      </c>
      <c r="C6" s="2579"/>
      <c r="D6" s="2579" t="s">
        <v>1106</v>
      </c>
      <c r="E6" s="2579"/>
      <c r="F6" s="2579"/>
      <c r="G6" s="2579"/>
      <c r="H6" s="2579" t="s">
        <v>1127</v>
      </c>
      <c r="I6" s="2579"/>
      <c r="J6" s="13"/>
      <c r="K6" s="13"/>
      <c r="L6" s="13"/>
      <c r="M6" s="13"/>
      <c r="N6" s="13"/>
      <c r="O6" s="13"/>
      <c r="P6" s="13"/>
      <c r="Q6" s="13"/>
      <c r="R6" s="13"/>
    </row>
    <row r="7" spans="1:18" s="11" customFormat="1" ht="18" customHeight="1" x14ac:dyDescent="0.2">
      <c r="A7" s="12"/>
      <c r="B7" s="2578"/>
      <c r="C7" s="2578"/>
      <c r="D7" s="2578" t="s">
        <v>1107</v>
      </c>
      <c r="E7" s="2578"/>
      <c r="F7" s="2578" t="s">
        <v>1108</v>
      </c>
      <c r="G7" s="2578"/>
      <c r="H7" s="2578"/>
      <c r="I7" s="2578"/>
      <c r="J7" s="13"/>
      <c r="K7" s="13"/>
      <c r="L7" s="13"/>
      <c r="M7" s="13"/>
      <c r="N7" s="13"/>
      <c r="O7" s="13"/>
      <c r="P7" s="13"/>
      <c r="Q7" s="13"/>
      <c r="R7" s="13"/>
    </row>
    <row r="8" spans="1:18" s="11" customFormat="1" ht="27" customHeight="1" x14ac:dyDescent="0.2">
      <c r="A8" s="12"/>
      <c r="B8" s="1888" t="s">
        <v>1109</v>
      </c>
      <c r="C8" s="1888"/>
      <c r="D8" s="1888">
        <v>3</v>
      </c>
      <c r="E8" s="1888"/>
      <c r="F8" s="1888">
        <v>0.5</v>
      </c>
      <c r="G8" s="1888"/>
      <c r="H8" s="1888" t="s">
        <v>1110</v>
      </c>
      <c r="I8" s="1888"/>
      <c r="J8" s="13"/>
      <c r="K8" s="13"/>
      <c r="L8" s="13"/>
      <c r="M8" s="13"/>
      <c r="N8" s="13"/>
      <c r="O8" s="13"/>
      <c r="P8" s="13"/>
      <c r="Q8" s="13"/>
      <c r="R8" s="13"/>
    </row>
    <row r="9" spans="1:18" s="11" customFormat="1" ht="12" customHeight="1" x14ac:dyDescent="0.2">
      <c r="A9" s="12"/>
      <c r="B9" s="1888" t="s">
        <v>1111</v>
      </c>
      <c r="C9" s="1888"/>
      <c r="D9" s="2582" t="s">
        <v>1112</v>
      </c>
      <c r="E9" s="2582"/>
      <c r="F9" s="2582" t="s">
        <v>1114</v>
      </c>
      <c r="G9" s="2582"/>
      <c r="H9" s="1888" t="s">
        <v>1110</v>
      </c>
      <c r="I9" s="1888"/>
      <c r="J9" s="13"/>
      <c r="K9" s="13"/>
      <c r="L9" s="13"/>
      <c r="M9" s="13"/>
      <c r="N9" s="13"/>
      <c r="O9" s="13"/>
      <c r="P9" s="13"/>
      <c r="Q9" s="13"/>
      <c r="R9" s="13"/>
    </row>
    <row r="10" spans="1:18" s="11" customFormat="1" ht="12" customHeight="1" x14ac:dyDescent="0.2">
      <c r="A10" s="12"/>
      <c r="B10" s="1888"/>
      <c r="C10" s="1888"/>
      <c r="D10" s="2298" t="s">
        <v>1113</v>
      </c>
      <c r="E10" s="2298"/>
      <c r="F10" s="2298" t="s">
        <v>1115</v>
      </c>
      <c r="G10" s="2298"/>
      <c r="H10" s="1888"/>
      <c r="I10" s="1888"/>
      <c r="J10" s="13"/>
      <c r="K10" s="13"/>
      <c r="L10" s="13"/>
      <c r="M10" s="13"/>
      <c r="N10" s="13"/>
      <c r="O10" s="13"/>
      <c r="P10" s="13"/>
      <c r="Q10" s="13"/>
      <c r="R10" s="13"/>
    </row>
    <row r="11" spans="1:18" s="11" customFormat="1" ht="25.5" customHeight="1" x14ac:dyDescent="0.2">
      <c r="A11" s="12"/>
      <c r="B11" s="1888" t="s">
        <v>1116</v>
      </c>
      <c r="C11" s="1888"/>
      <c r="D11" s="1888">
        <v>1</v>
      </c>
      <c r="E11" s="1888"/>
      <c r="F11" s="1888">
        <v>0.1</v>
      </c>
      <c r="G11" s="1888"/>
      <c r="H11" s="1888" t="s">
        <v>1110</v>
      </c>
      <c r="I11" s="1888"/>
      <c r="J11" s="13"/>
      <c r="K11" s="13"/>
      <c r="L11" s="13"/>
      <c r="M11" s="13"/>
      <c r="N11" s="13"/>
      <c r="O11" s="13"/>
      <c r="P11" s="13"/>
      <c r="Q11" s="13"/>
      <c r="R11" s="13"/>
    </row>
    <row r="12" spans="1:18" s="11" customFormat="1" ht="18" customHeight="1" x14ac:dyDescent="0.2">
      <c r="A12" s="12"/>
      <c r="B12" s="1888" t="s">
        <v>1117</v>
      </c>
      <c r="C12" s="1888"/>
      <c r="D12" s="1888" t="s">
        <v>1118</v>
      </c>
      <c r="E12" s="1888"/>
      <c r="F12" s="1888" t="s">
        <v>1119</v>
      </c>
      <c r="G12" s="1888"/>
      <c r="H12" s="1888" t="s">
        <v>1110</v>
      </c>
      <c r="I12" s="1888"/>
      <c r="J12" s="13"/>
      <c r="K12" s="13"/>
      <c r="L12" s="13"/>
      <c r="M12" s="13"/>
      <c r="N12" s="13"/>
      <c r="O12" s="13"/>
      <c r="P12" s="13"/>
      <c r="Q12" s="13"/>
      <c r="R12" s="13"/>
    </row>
    <row r="13" spans="1:18" s="11" customFormat="1" ht="18" customHeight="1" x14ac:dyDescent="0.2">
      <c r="A13" s="12"/>
      <c r="B13" s="1888" t="s">
        <v>1120</v>
      </c>
      <c r="C13" s="1888"/>
      <c r="D13" s="1888">
        <v>2</v>
      </c>
      <c r="E13" s="1888"/>
      <c r="F13" s="1888">
        <v>0.4</v>
      </c>
      <c r="G13" s="1888"/>
      <c r="H13" s="1888" t="s">
        <v>1110</v>
      </c>
      <c r="I13" s="1888"/>
      <c r="J13" s="13"/>
      <c r="K13" s="13"/>
      <c r="L13" s="13"/>
      <c r="M13" s="13"/>
      <c r="N13" s="13"/>
      <c r="O13" s="13"/>
      <c r="P13" s="13"/>
      <c r="Q13" s="13"/>
      <c r="R13" s="13"/>
    </row>
    <row r="14" spans="1:18" s="11" customFormat="1" ht="27" customHeight="1" x14ac:dyDescent="0.2">
      <c r="A14" s="12"/>
      <c r="B14" s="1888" t="s">
        <v>1121</v>
      </c>
      <c r="C14" s="1888"/>
      <c r="D14" s="1888">
        <v>3</v>
      </c>
      <c r="E14" s="1888"/>
      <c r="F14" s="1888">
        <v>0.5</v>
      </c>
      <c r="G14" s="1888"/>
      <c r="H14" s="1888" t="s">
        <v>1122</v>
      </c>
      <c r="I14" s="1888"/>
      <c r="J14" s="13"/>
      <c r="K14" s="13"/>
      <c r="L14" s="13"/>
      <c r="M14" s="13"/>
      <c r="N14" s="13"/>
      <c r="O14" s="13"/>
      <c r="P14" s="13"/>
      <c r="Q14" s="13"/>
      <c r="R14" s="13"/>
    </row>
    <row r="15" spans="1:18" s="11" customFormat="1" ht="18" customHeight="1" x14ac:dyDescent="0.2">
      <c r="A15" s="12"/>
      <c r="B15" s="1888" t="s">
        <v>1123</v>
      </c>
      <c r="C15" s="1888"/>
      <c r="D15" s="1888">
        <v>0.1</v>
      </c>
      <c r="E15" s="1888"/>
      <c r="F15" s="1888">
        <v>0</v>
      </c>
      <c r="G15" s="1888"/>
      <c r="H15" s="1888" t="s">
        <v>1124</v>
      </c>
      <c r="I15" s="1888"/>
      <c r="J15" s="13"/>
      <c r="K15" s="13"/>
      <c r="L15" s="13"/>
      <c r="M15" s="13"/>
      <c r="N15" s="13"/>
      <c r="O15" s="13"/>
      <c r="P15" s="13"/>
      <c r="Q15" s="13"/>
      <c r="R15" s="13"/>
    </row>
    <row r="16" spans="1:18" s="11" customFormat="1" ht="18" customHeight="1" x14ac:dyDescent="0.2">
      <c r="A16" s="12"/>
      <c r="B16" s="1888" t="s">
        <v>1125</v>
      </c>
      <c r="C16" s="1888"/>
      <c r="D16" s="1888">
        <v>1</v>
      </c>
      <c r="E16" s="1888"/>
      <c r="F16" s="1888">
        <v>0</v>
      </c>
      <c r="G16" s="1888"/>
      <c r="H16" s="1888" t="s">
        <v>1126</v>
      </c>
      <c r="I16" s="1888"/>
      <c r="J16" s="13"/>
      <c r="K16" s="13"/>
      <c r="L16" s="13"/>
      <c r="M16" s="13"/>
      <c r="N16" s="13"/>
      <c r="O16" s="13"/>
      <c r="P16" s="13"/>
      <c r="Q16" s="13"/>
      <c r="R16" s="13"/>
    </row>
    <row r="17" spans="1:19" s="11" customFormat="1" ht="18" customHeight="1" x14ac:dyDescent="0.2">
      <c r="A17" s="12"/>
      <c r="B17" s="711" t="s">
        <v>1128</v>
      </c>
      <c r="C17" s="12"/>
      <c r="D17" s="13"/>
      <c r="E17" s="13"/>
      <c r="F17" s="13"/>
      <c r="G17" s="13"/>
      <c r="H17" s="13"/>
      <c r="I17" s="13"/>
      <c r="J17" s="13"/>
      <c r="K17" s="13"/>
      <c r="L17" s="13"/>
      <c r="M17" s="13"/>
      <c r="N17" s="13"/>
      <c r="O17" s="13"/>
      <c r="P17" s="13"/>
      <c r="Q17" s="13"/>
    </row>
    <row r="18" spans="1:19" s="11" customFormat="1" ht="18" customHeight="1" x14ac:dyDescent="0.2">
      <c r="A18" s="12"/>
      <c r="B18" s="711"/>
      <c r="C18" s="12"/>
      <c r="D18" s="13"/>
      <c r="E18" s="13"/>
      <c r="F18" s="13"/>
      <c r="G18" s="13"/>
      <c r="H18" s="13"/>
      <c r="I18" s="13"/>
      <c r="J18" s="13"/>
      <c r="K18" s="13"/>
      <c r="L18" s="13"/>
      <c r="M18" s="13"/>
      <c r="N18" s="13"/>
      <c r="O18" s="13"/>
      <c r="P18" s="13"/>
      <c r="Q18" s="13"/>
    </row>
    <row r="19" spans="1:19" s="11" customFormat="1" ht="18" customHeight="1" x14ac:dyDescent="0.2">
      <c r="A19" s="12"/>
      <c r="B19" s="2583" t="s">
        <v>1130</v>
      </c>
      <c r="C19" s="2583"/>
      <c r="D19" s="2583"/>
      <c r="E19" s="2583"/>
      <c r="F19" s="2583"/>
      <c r="G19" s="2583"/>
      <c r="H19" s="2583"/>
      <c r="I19" s="2583"/>
      <c r="J19" s="2583"/>
      <c r="K19" s="2583"/>
      <c r="L19" s="13"/>
      <c r="M19" s="13"/>
      <c r="N19" s="13"/>
      <c r="O19" s="13"/>
      <c r="P19" s="13"/>
      <c r="Q19" s="13"/>
    </row>
    <row r="20" spans="1:19" s="11" customFormat="1" ht="18" customHeight="1" x14ac:dyDescent="0.2">
      <c r="A20" s="12"/>
      <c r="B20" s="2579" t="s">
        <v>1105</v>
      </c>
      <c r="C20" s="2579"/>
      <c r="D20" s="2579" t="s">
        <v>1106</v>
      </c>
      <c r="E20" s="2579"/>
      <c r="F20" s="2579"/>
      <c r="G20" s="2579"/>
      <c r="H20" s="2579"/>
      <c r="I20" s="2579"/>
      <c r="J20" s="2579" t="s">
        <v>1127</v>
      </c>
      <c r="K20" s="2579"/>
      <c r="L20" s="13"/>
      <c r="M20" s="13"/>
      <c r="N20" s="13"/>
      <c r="O20" s="13"/>
      <c r="P20" s="13"/>
      <c r="Q20" s="13"/>
      <c r="R20" s="13"/>
      <c r="S20" s="13"/>
    </row>
    <row r="21" spans="1:19" s="11" customFormat="1" ht="24.75" customHeight="1" x14ac:dyDescent="0.2">
      <c r="A21" s="12"/>
      <c r="B21" s="2578"/>
      <c r="C21" s="2578"/>
      <c r="D21" s="2578" t="s">
        <v>1131</v>
      </c>
      <c r="E21" s="2578"/>
      <c r="F21" s="2578" t="s">
        <v>1107</v>
      </c>
      <c r="G21" s="2578"/>
      <c r="H21" s="2584" t="s">
        <v>1108</v>
      </c>
      <c r="I21" s="2584"/>
      <c r="J21" s="2578"/>
      <c r="K21" s="2578"/>
      <c r="L21" s="13"/>
      <c r="M21" s="13"/>
      <c r="N21" s="13"/>
      <c r="O21" s="13"/>
      <c r="P21" s="13"/>
      <c r="Q21" s="13"/>
      <c r="R21" s="13"/>
      <c r="S21" s="13"/>
    </row>
    <row r="22" spans="1:19" s="11" customFormat="1" ht="18" customHeight="1" x14ac:dyDescent="0.2">
      <c r="A22" s="12"/>
      <c r="B22" s="1888" t="s">
        <v>1109</v>
      </c>
      <c r="C22" s="1888"/>
      <c r="D22" s="1888">
        <v>4</v>
      </c>
      <c r="E22" s="1888"/>
      <c r="F22" s="1888">
        <v>3</v>
      </c>
      <c r="G22" s="1888"/>
      <c r="H22" s="1888">
        <v>0.5</v>
      </c>
      <c r="I22" s="1888"/>
      <c r="J22" s="1888" t="s">
        <v>1110</v>
      </c>
      <c r="K22" s="1888"/>
      <c r="L22" s="13"/>
      <c r="M22" s="13"/>
      <c r="N22" s="13"/>
      <c r="O22" s="13"/>
      <c r="P22" s="13"/>
      <c r="Q22" s="13"/>
      <c r="R22" s="13"/>
      <c r="S22" s="13"/>
    </row>
    <row r="23" spans="1:19" s="11" customFormat="1" ht="13.5" customHeight="1" x14ac:dyDescent="0.2">
      <c r="A23" s="12"/>
      <c r="B23" s="1888" t="s">
        <v>1111</v>
      </c>
      <c r="C23" s="1888"/>
      <c r="D23" s="2585" t="s">
        <v>1132</v>
      </c>
      <c r="E23" s="2586"/>
      <c r="F23" s="2585" t="s">
        <v>1133</v>
      </c>
      <c r="G23" s="2586"/>
      <c r="H23" s="2585" t="s">
        <v>1134</v>
      </c>
      <c r="I23" s="2586"/>
      <c r="J23" s="1888" t="s">
        <v>1110</v>
      </c>
      <c r="K23" s="1888"/>
      <c r="L23" s="13"/>
      <c r="M23" s="13"/>
      <c r="N23" s="13"/>
      <c r="O23" s="13"/>
      <c r="P23" s="13"/>
      <c r="Q23" s="13"/>
      <c r="R23" s="13"/>
      <c r="S23" s="13"/>
    </row>
    <row r="24" spans="1:19" s="11" customFormat="1" ht="13.5" customHeight="1" x14ac:dyDescent="0.2">
      <c r="A24" s="12"/>
      <c r="B24" s="1888"/>
      <c r="C24" s="1888"/>
      <c r="D24" s="2587"/>
      <c r="E24" s="2588"/>
      <c r="F24" s="2587"/>
      <c r="G24" s="2588"/>
      <c r="H24" s="2587"/>
      <c r="I24" s="2588"/>
      <c r="J24" s="1888"/>
      <c r="K24" s="1888"/>
      <c r="L24" s="13"/>
      <c r="M24" s="13"/>
      <c r="N24" s="13"/>
      <c r="O24" s="13"/>
      <c r="P24" s="13"/>
      <c r="Q24" s="13"/>
      <c r="R24" s="13"/>
      <c r="S24" s="13"/>
    </row>
    <row r="25" spans="1:19" s="11" customFormat="1" ht="18" customHeight="1" x14ac:dyDescent="0.2">
      <c r="A25" s="12"/>
      <c r="B25" s="1888" t="s">
        <v>1116</v>
      </c>
      <c r="C25" s="1888"/>
      <c r="D25" s="1888">
        <v>4</v>
      </c>
      <c r="E25" s="1888"/>
      <c r="F25" s="1888">
        <v>1</v>
      </c>
      <c r="G25" s="1888"/>
      <c r="H25" s="1888">
        <v>0.1</v>
      </c>
      <c r="I25" s="1888"/>
      <c r="J25" s="1888" t="s">
        <v>1110</v>
      </c>
      <c r="K25" s="1888"/>
      <c r="L25" s="13"/>
      <c r="M25" s="13"/>
      <c r="N25" s="13"/>
      <c r="O25" s="13"/>
      <c r="P25" s="13"/>
      <c r="Q25" s="13"/>
      <c r="R25" s="13"/>
      <c r="S25" s="13"/>
    </row>
    <row r="26" spans="1:19" s="11" customFormat="1" ht="25.5" customHeight="1" x14ac:dyDescent="0.2">
      <c r="A26" s="12"/>
      <c r="B26" s="1888" t="s">
        <v>1117</v>
      </c>
      <c r="C26" s="1888"/>
      <c r="D26" s="1888" t="s">
        <v>1132</v>
      </c>
      <c r="E26" s="1888"/>
      <c r="F26" s="1888" t="s">
        <v>1135</v>
      </c>
      <c r="G26" s="1888"/>
      <c r="H26" s="1888" t="s">
        <v>1119</v>
      </c>
      <c r="I26" s="1888"/>
      <c r="J26" s="1888" t="s">
        <v>1110</v>
      </c>
      <c r="K26" s="1888"/>
      <c r="L26" s="13"/>
      <c r="M26" s="13"/>
      <c r="N26" s="13"/>
      <c r="O26" s="13"/>
      <c r="P26" s="13"/>
      <c r="Q26" s="13"/>
      <c r="R26" s="13"/>
      <c r="S26" s="13"/>
    </row>
    <row r="27" spans="1:19" s="11" customFormat="1" ht="18" customHeight="1" x14ac:dyDescent="0.2">
      <c r="A27" s="12"/>
      <c r="B27" s="1888" t="s">
        <v>1120</v>
      </c>
      <c r="C27" s="1888"/>
      <c r="D27" s="1888">
        <v>0</v>
      </c>
      <c r="E27" s="1888"/>
      <c r="F27" s="1888">
        <v>2</v>
      </c>
      <c r="G27" s="1888"/>
      <c r="H27" s="1888">
        <v>0.4</v>
      </c>
      <c r="I27" s="1888"/>
      <c r="J27" s="1888" t="s">
        <v>1110</v>
      </c>
      <c r="K27" s="1888"/>
      <c r="L27" s="13"/>
      <c r="M27" s="13"/>
      <c r="N27" s="13"/>
      <c r="O27" s="13"/>
      <c r="P27" s="13"/>
      <c r="Q27" s="13"/>
      <c r="R27" s="13"/>
      <c r="S27" s="13"/>
    </row>
    <row r="28" spans="1:19" s="11" customFormat="1" ht="38.25" customHeight="1" x14ac:dyDescent="0.2">
      <c r="A28" s="12"/>
      <c r="B28" s="1888" t="s">
        <v>1121</v>
      </c>
      <c r="C28" s="1888"/>
      <c r="D28" s="1888">
        <v>7</v>
      </c>
      <c r="E28" s="1888"/>
      <c r="F28" s="1888">
        <v>3</v>
      </c>
      <c r="G28" s="1888"/>
      <c r="H28" s="1888">
        <v>0.5</v>
      </c>
      <c r="I28" s="1888"/>
      <c r="J28" s="1888" t="s">
        <v>1136</v>
      </c>
      <c r="K28" s="1888"/>
      <c r="L28" s="13"/>
      <c r="M28" s="13"/>
      <c r="N28" s="13"/>
      <c r="O28" s="13"/>
      <c r="P28" s="13"/>
      <c r="Q28" s="13"/>
      <c r="R28" s="13"/>
      <c r="S28" s="13"/>
    </row>
    <row r="29" spans="1:19" s="11" customFormat="1" ht="25.5" customHeight="1" x14ac:dyDescent="0.2">
      <c r="A29" s="12"/>
      <c r="B29" s="1888" t="s">
        <v>1123</v>
      </c>
      <c r="C29" s="1888"/>
      <c r="D29" s="1888">
        <v>1</v>
      </c>
      <c r="E29" s="1888"/>
      <c r="F29" s="1888">
        <v>0.1</v>
      </c>
      <c r="G29" s="1888"/>
      <c r="H29" s="1888">
        <v>0</v>
      </c>
      <c r="I29" s="1888"/>
      <c r="J29" s="1888" t="s">
        <v>1137</v>
      </c>
      <c r="K29" s="1888"/>
      <c r="L29" s="13"/>
      <c r="M29" s="13"/>
      <c r="N29" s="13"/>
      <c r="O29" s="13"/>
      <c r="P29" s="13"/>
      <c r="Q29" s="13"/>
      <c r="R29" s="13"/>
      <c r="S29" s="13"/>
    </row>
    <row r="30" spans="1:19" s="11" customFormat="1" ht="25.5" customHeight="1" x14ac:dyDescent="0.2">
      <c r="A30" s="12"/>
      <c r="B30" s="1888" t="s">
        <v>1125</v>
      </c>
      <c r="C30" s="1888"/>
      <c r="D30" s="1888">
        <v>4</v>
      </c>
      <c r="E30" s="1888"/>
      <c r="F30" s="1888">
        <v>1</v>
      </c>
      <c r="G30" s="1888"/>
      <c r="H30" s="1888">
        <v>0</v>
      </c>
      <c r="I30" s="1888"/>
      <c r="J30" s="1888" t="s">
        <v>1143</v>
      </c>
      <c r="K30" s="1888"/>
      <c r="L30" s="13"/>
      <c r="M30" s="13"/>
      <c r="N30" s="13"/>
      <c r="O30" s="13"/>
      <c r="P30" s="13"/>
      <c r="Q30" s="13"/>
      <c r="R30" s="13"/>
      <c r="S30" s="13"/>
    </row>
    <row r="31" spans="1:19" s="11" customFormat="1" ht="18" customHeight="1" x14ac:dyDescent="0.2">
      <c r="A31" s="12"/>
      <c r="B31" s="1888" t="s">
        <v>1138</v>
      </c>
      <c r="C31" s="1888"/>
      <c r="D31" s="1888" t="s">
        <v>1139</v>
      </c>
      <c r="E31" s="1888"/>
      <c r="F31" s="1888">
        <v>0</v>
      </c>
      <c r="G31" s="1888"/>
      <c r="H31" s="1888">
        <v>0</v>
      </c>
      <c r="I31" s="1888"/>
      <c r="J31" s="1888" t="s">
        <v>1110</v>
      </c>
      <c r="K31" s="1888"/>
      <c r="L31" s="13"/>
      <c r="M31" s="13"/>
      <c r="N31" s="13"/>
      <c r="O31" s="13"/>
      <c r="P31" s="13"/>
      <c r="Q31" s="13"/>
      <c r="R31" s="13"/>
      <c r="S31" s="13"/>
    </row>
    <row r="32" spans="1:19" s="11" customFormat="1" ht="18" customHeight="1" x14ac:dyDescent="0.2">
      <c r="A32" s="12"/>
      <c r="B32" s="711" t="s">
        <v>1128</v>
      </c>
      <c r="C32" s="13"/>
      <c r="D32" s="13"/>
      <c r="E32" s="13"/>
      <c r="F32" s="13"/>
      <c r="G32" s="13"/>
      <c r="H32" s="13"/>
      <c r="I32" s="13"/>
      <c r="J32" s="13"/>
      <c r="K32" s="13"/>
      <c r="L32" s="13"/>
      <c r="M32" s="13"/>
      <c r="N32" s="13"/>
      <c r="O32" s="13"/>
      <c r="P32" s="13"/>
      <c r="Q32" s="13"/>
    </row>
    <row r="33" spans="1:19" s="11" customFormat="1" ht="18" customHeight="1" x14ac:dyDescent="0.2">
      <c r="A33" s="12"/>
      <c r="B33" s="13"/>
      <c r="C33" s="13"/>
      <c r="D33" s="13"/>
      <c r="E33" s="13"/>
      <c r="F33" s="13"/>
      <c r="G33" s="13"/>
      <c r="H33" s="13"/>
      <c r="I33" s="13"/>
      <c r="J33" s="13"/>
      <c r="K33" s="13"/>
      <c r="L33" s="13"/>
      <c r="M33" s="13"/>
      <c r="N33" s="13"/>
      <c r="O33" s="13"/>
      <c r="P33" s="13"/>
      <c r="Q33" s="13"/>
    </row>
    <row r="34" spans="1:19" s="11" customFormat="1" ht="18" customHeight="1" x14ac:dyDescent="0.2">
      <c r="A34" s="12"/>
      <c r="B34" s="2583" t="s">
        <v>1140</v>
      </c>
      <c r="C34" s="2583"/>
      <c r="D34" s="2583"/>
      <c r="E34" s="2583"/>
      <c r="F34" s="2583"/>
      <c r="G34" s="2583"/>
      <c r="H34" s="2583"/>
      <c r="I34" s="2583"/>
      <c r="J34" s="2583"/>
      <c r="K34" s="2583"/>
      <c r="L34" s="13"/>
      <c r="M34" s="13"/>
      <c r="N34" s="13"/>
      <c r="O34" s="13"/>
      <c r="P34" s="13"/>
      <c r="Q34" s="13"/>
    </row>
    <row r="35" spans="1:19" s="11" customFormat="1" ht="15" customHeight="1" x14ac:dyDescent="0.2">
      <c r="A35" s="12"/>
      <c r="B35" s="2579" t="s">
        <v>1105</v>
      </c>
      <c r="C35" s="2579"/>
      <c r="D35" s="2579" t="s">
        <v>1106</v>
      </c>
      <c r="E35" s="2579"/>
      <c r="F35" s="2579"/>
      <c r="G35" s="2579"/>
      <c r="H35" s="2579"/>
      <c r="I35" s="2579"/>
      <c r="J35" s="710"/>
      <c r="K35" s="710"/>
      <c r="L35" s="2579" t="s">
        <v>1127</v>
      </c>
      <c r="M35" s="2579"/>
      <c r="N35" s="13"/>
      <c r="O35" s="13"/>
      <c r="P35" s="13"/>
      <c r="Q35" s="13"/>
      <c r="R35" s="13"/>
      <c r="S35" s="13"/>
    </row>
    <row r="36" spans="1:19" s="11" customFormat="1" ht="40.5" customHeight="1" x14ac:dyDescent="0.2">
      <c r="A36" s="12"/>
      <c r="B36" s="2578"/>
      <c r="C36" s="2578"/>
      <c r="D36" s="2578" t="s">
        <v>2503</v>
      </c>
      <c r="E36" s="2578"/>
      <c r="F36" s="2578" t="s">
        <v>2502</v>
      </c>
      <c r="G36" s="2578"/>
      <c r="H36" s="2578" t="s">
        <v>1107</v>
      </c>
      <c r="I36" s="2578"/>
      <c r="J36" s="2584" t="s">
        <v>1108</v>
      </c>
      <c r="K36" s="2584"/>
      <c r="L36" s="2578"/>
      <c r="M36" s="2578"/>
      <c r="N36" s="13"/>
      <c r="O36" s="13"/>
      <c r="P36" s="13"/>
      <c r="Q36" s="13"/>
      <c r="R36" s="13"/>
      <c r="S36" s="13"/>
    </row>
    <row r="37" spans="1:19" s="11" customFormat="1" ht="18" customHeight="1" x14ac:dyDescent="0.2">
      <c r="A37" s="12"/>
      <c r="B37" s="1888" t="s">
        <v>1109</v>
      </c>
      <c r="C37" s="1888"/>
      <c r="D37" s="1888">
        <v>3</v>
      </c>
      <c r="E37" s="1888"/>
      <c r="F37" s="1888">
        <v>1.5</v>
      </c>
      <c r="G37" s="1888"/>
      <c r="H37" s="1888">
        <v>3</v>
      </c>
      <c r="I37" s="1888"/>
      <c r="J37" s="1888">
        <v>0.5</v>
      </c>
      <c r="K37" s="1888"/>
      <c r="L37" s="1888" t="s">
        <v>1110</v>
      </c>
      <c r="M37" s="1888"/>
      <c r="N37" s="13"/>
      <c r="O37" s="13"/>
      <c r="P37" s="13"/>
      <c r="Q37" s="13"/>
      <c r="R37" s="13"/>
      <c r="S37" s="13"/>
    </row>
    <row r="38" spans="1:19" s="11" customFormat="1" ht="18" customHeight="1" x14ac:dyDescent="0.2">
      <c r="A38" s="12"/>
      <c r="B38" s="1888" t="s">
        <v>1111</v>
      </c>
      <c r="C38" s="1888"/>
      <c r="D38" s="2585" t="s">
        <v>1133</v>
      </c>
      <c r="E38" s="2586"/>
      <c r="F38" s="2585" t="s">
        <v>1141</v>
      </c>
      <c r="G38" s="2586"/>
      <c r="H38" s="2585" t="s">
        <v>1133</v>
      </c>
      <c r="I38" s="2586"/>
      <c r="J38" s="2585" t="s">
        <v>1134</v>
      </c>
      <c r="K38" s="2586"/>
      <c r="L38" s="1888" t="s">
        <v>1110</v>
      </c>
      <c r="M38" s="1888"/>
      <c r="N38" s="13"/>
      <c r="O38" s="13"/>
      <c r="P38" s="13"/>
      <c r="Q38" s="13"/>
      <c r="R38" s="13"/>
      <c r="S38" s="13"/>
    </row>
    <row r="39" spans="1:19" s="11" customFormat="1" ht="18" customHeight="1" x14ac:dyDescent="0.2">
      <c r="A39" s="12"/>
      <c r="B39" s="1888"/>
      <c r="C39" s="1888"/>
      <c r="D39" s="2587"/>
      <c r="E39" s="2588"/>
      <c r="F39" s="2587"/>
      <c r="G39" s="2588"/>
      <c r="H39" s="2587"/>
      <c r="I39" s="2588"/>
      <c r="J39" s="2587"/>
      <c r="K39" s="2588"/>
      <c r="L39" s="1888"/>
      <c r="M39" s="1888"/>
      <c r="N39" s="13"/>
      <c r="O39" s="13"/>
      <c r="P39" s="13"/>
      <c r="Q39" s="13"/>
      <c r="R39" s="13"/>
      <c r="S39" s="13"/>
    </row>
    <row r="40" spans="1:19" s="11" customFormat="1" ht="18" customHeight="1" x14ac:dyDescent="0.2">
      <c r="A40" s="12"/>
      <c r="B40" s="1888" t="s">
        <v>1116</v>
      </c>
      <c r="C40" s="1888"/>
      <c r="D40" s="1888">
        <v>1</v>
      </c>
      <c r="E40" s="1888"/>
      <c r="F40" s="1888">
        <v>0.5</v>
      </c>
      <c r="G40" s="1888"/>
      <c r="H40" s="1888">
        <v>1</v>
      </c>
      <c r="I40" s="1888"/>
      <c r="J40" s="1888">
        <v>0.1</v>
      </c>
      <c r="K40" s="1888"/>
      <c r="L40" s="1888" t="s">
        <v>1110</v>
      </c>
      <c r="M40" s="1888"/>
      <c r="N40" s="13"/>
      <c r="O40" s="13"/>
      <c r="P40" s="13"/>
      <c r="Q40" s="13"/>
      <c r="R40" s="13"/>
      <c r="S40" s="13"/>
    </row>
    <row r="41" spans="1:19" s="11" customFormat="1" ht="18" customHeight="1" x14ac:dyDescent="0.2">
      <c r="A41" s="12"/>
      <c r="B41" s="1888" t="s">
        <v>1117</v>
      </c>
      <c r="C41" s="1888"/>
      <c r="D41" s="1888" t="s">
        <v>1135</v>
      </c>
      <c r="E41" s="1888"/>
      <c r="F41" s="1888" t="s">
        <v>1142</v>
      </c>
      <c r="G41" s="1888"/>
      <c r="H41" s="1888" t="s">
        <v>1135</v>
      </c>
      <c r="I41" s="1888"/>
      <c r="J41" s="1888" t="s">
        <v>1119</v>
      </c>
      <c r="K41" s="1888"/>
      <c r="L41" s="1888" t="s">
        <v>1110</v>
      </c>
      <c r="M41" s="1888"/>
      <c r="N41" s="13"/>
      <c r="O41" s="13"/>
      <c r="P41" s="13"/>
      <c r="Q41" s="13"/>
      <c r="R41" s="13"/>
      <c r="S41" s="13"/>
    </row>
    <row r="42" spans="1:19" s="11" customFormat="1" ht="18" customHeight="1" x14ac:dyDescent="0.2">
      <c r="A42" s="12"/>
      <c r="B42" s="1888" t="s">
        <v>1120</v>
      </c>
      <c r="C42" s="1888"/>
      <c r="D42" s="1888">
        <v>2</v>
      </c>
      <c r="E42" s="1888"/>
      <c r="F42" s="1888">
        <v>1</v>
      </c>
      <c r="G42" s="1888"/>
      <c r="H42" s="1888">
        <v>2</v>
      </c>
      <c r="I42" s="1888"/>
      <c r="J42" s="1888">
        <v>0.4</v>
      </c>
      <c r="K42" s="1888"/>
      <c r="L42" s="1888" t="s">
        <v>1110</v>
      </c>
      <c r="M42" s="1888"/>
      <c r="N42" s="13"/>
      <c r="O42" s="13"/>
      <c r="P42" s="13"/>
      <c r="Q42" s="13"/>
      <c r="R42" s="13"/>
      <c r="S42" s="13"/>
    </row>
    <row r="43" spans="1:19" s="11" customFormat="1" ht="25.5" customHeight="1" x14ac:dyDescent="0.2">
      <c r="A43" s="12"/>
      <c r="B43" s="1888" t="s">
        <v>1121</v>
      </c>
      <c r="C43" s="1888"/>
      <c r="D43" s="1888">
        <v>3</v>
      </c>
      <c r="E43" s="1888"/>
      <c r="F43" s="1888">
        <v>1.5</v>
      </c>
      <c r="G43" s="1888"/>
      <c r="H43" s="1888">
        <v>3</v>
      </c>
      <c r="I43" s="1888"/>
      <c r="J43" s="1888">
        <v>0.5</v>
      </c>
      <c r="K43" s="1888"/>
      <c r="L43" s="1888" t="s">
        <v>1122</v>
      </c>
      <c r="M43" s="1888"/>
      <c r="N43" s="13"/>
      <c r="O43" s="13"/>
      <c r="P43" s="13"/>
      <c r="Q43" s="13"/>
      <c r="R43" s="13"/>
      <c r="S43" s="13"/>
    </row>
    <row r="44" spans="1:19" s="11" customFormat="1" ht="18" customHeight="1" x14ac:dyDescent="0.2">
      <c r="A44" s="12"/>
      <c r="B44" s="1888" t="s">
        <v>1123</v>
      </c>
      <c r="C44" s="1888"/>
      <c r="D44" s="1888">
        <v>0</v>
      </c>
      <c r="E44" s="1888"/>
      <c r="F44" s="1888">
        <v>0</v>
      </c>
      <c r="G44" s="1888"/>
      <c r="H44" s="1888">
        <v>0.1</v>
      </c>
      <c r="I44" s="1888"/>
      <c r="J44" s="1888">
        <v>0</v>
      </c>
      <c r="K44" s="1888"/>
      <c r="L44" s="1888" t="s">
        <v>1124</v>
      </c>
      <c r="M44" s="1888"/>
      <c r="N44" s="13"/>
      <c r="O44" s="13"/>
      <c r="P44" s="13"/>
      <c r="Q44" s="13"/>
      <c r="R44" s="13"/>
      <c r="S44" s="13"/>
    </row>
    <row r="45" spans="1:19" s="11" customFormat="1" ht="18" customHeight="1" x14ac:dyDescent="0.2">
      <c r="A45" s="12"/>
      <c r="B45" s="1888" t="s">
        <v>1125</v>
      </c>
      <c r="C45" s="1888"/>
      <c r="D45" s="1888">
        <v>0</v>
      </c>
      <c r="E45" s="1888"/>
      <c r="F45" s="1888">
        <v>0</v>
      </c>
      <c r="G45" s="1888"/>
      <c r="H45" s="1888">
        <v>1</v>
      </c>
      <c r="I45" s="1888"/>
      <c r="J45" s="1888">
        <v>0</v>
      </c>
      <c r="K45" s="1888"/>
      <c r="L45" s="1888" t="s">
        <v>1126</v>
      </c>
      <c r="M45" s="1888"/>
      <c r="N45" s="13"/>
      <c r="O45" s="13"/>
      <c r="P45" s="13"/>
      <c r="Q45" s="13"/>
      <c r="R45" s="13"/>
      <c r="S45" s="13"/>
    </row>
    <row r="46" spans="1:19" s="11" customFormat="1" ht="18" customHeight="1" x14ac:dyDescent="0.2">
      <c r="A46" s="12"/>
      <c r="B46" s="711" t="s">
        <v>1128</v>
      </c>
      <c r="C46" s="13"/>
      <c r="D46" s="13"/>
      <c r="E46" s="13"/>
      <c r="F46" s="13"/>
      <c r="G46" s="13"/>
      <c r="H46" s="13"/>
      <c r="I46" s="13"/>
      <c r="J46" s="13"/>
      <c r="K46" s="13"/>
      <c r="L46" s="13"/>
      <c r="M46" s="13"/>
      <c r="N46" s="13"/>
      <c r="O46" s="13"/>
      <c r="P46" s="13"/>
      <c r="Q46" s="13"/>
    </row>
    <row r="47" spans="1:19" s="11" customFormat="1" ht="18" customHeight="1" x14ac:dyDescent="0.2">
      <c r="A47" s="12"/>
      <c r="B47" s="13"/>
      <c r="C47" s="13"/>
      <c r="D47" s="13"/>
      <c r="E47" s="13"/>
      <c r="F47" s="13"/>
      <c r="G47" s="13"/>
      <c r="H47" s="13"/>
      <c r="I47" s="13"/>
      <c r="J47" s="13"/>
      <c r="K47" s="13"/>
      <c r="L47" s="13"/>
      <c r="M47" s="13"/>
      <c r="N47" s="13"/>
      <c r="O47" s="13"/>
      <c r="P47" s="13"/>
      <c r="Q47" s="13"/>
    </row>
    <row r="48" spans="1:19" s="11" customFormat="1" ht="18" customHeight="1" x14ac:dyDescent="0.2">
      <c r="A48" s="12"/>
      <c r="B48" s="2583" t="s">
        <v>1144</v>
      </c>
      <c r="C48" s="2583"/>
      <c r="D48" s="2583"/>
      <c r="E48" s="2583"/>
      <c r="F48" s="2583"/>
      <c r="G48" s="2583"/>
      <c r="H48" s="2583"/>
      <c r="I48" s="2583"/>
      <c r="J48" s="2583"/>
      <c r="K48" s="2583"/>
      <c r="L48" s="13"/>
      <c r="M48" s="13"/>
      <c r="N48" s="13"/>
      <c r="O48" s="13"/>
      <c r="P48" s="13"/>
      <c r="Q48" s="13"/>
    </row>
    <row r="49" spans="1:17" s="11" customFormat="1" ht="18" customHeight="1" x14ac:dyDescent="0.2">
      <c r="A49" s="12"/>
      <c r="B49" s="2579" t="s">
        <v>1105</v>
      </c>
      <c r="C49" s="2579"/>
      <c r="D49" s="2579" t="s">
        <v>1106</v>
      </c>
      <c r="E49" s="2579"/>
      <c r="F49" s="2579"/>
      <c r="G49" s="2579"/>
      <c r="H49" s="2579"/>
      <c r="I49" s="2579"/>
      <c r="J49" s="2579" t="s">
        <v>1127</v>
      </c>
      <c r="K49" s="2579"/>
      <c r="L49" s="13"/>
      <c r="M49" s="13"/>
      <c r="N49" s="13"/>
      <c r="O49" s="13"/>
      <c r="P49" s="13"/>
      <c r="Q49" s="13"/>
    </row>
    <row r="50" spans="1:17" s="11" customFormat="1" ht="18" customHeight="1" x14ac:dyDescent="0.2">
      <c r="A50" s="12"/>
      <c r="B50" s="2578"/>
      <c r="C50" s="2578"/>
      <c r="D50" s="2578" t="s">
        <v>1145</v>
      </c>
      <c r="E50" s="2578"/>
      <c r="F50" s="2578" t="s">
        <v>1107</v>
      </c>
      <c r="G50" s="2578"/>
      <c r="H50" s="2584" t="s">
        <v>1108</v>
      </c>
      <c r="I50" s="2584"/>
      <c r="J50" s="2578"/>
      <c r="K50" s="2578"/>
      <c r="L50" s="13"/>
      <c r="M50" s="13"/>
      <c r="N50" s="13"/>
      <c r="O50" s="13"/>
      <c r="P50" s="13"/>
      <c r="Q50" s="13"/>
    </row>
    <row r="51" spans="1:17" s="11" customFormat="1" ht="18" customHeight="1" x14ac:dyDescent="0.2">
      <c r="A51" s="12"/>
      <c r="B51" s="1888" t="s">
        <v>1109</v>
      </c>
      <c r="C51" s="1888"/>
      <c r="D51" s="1888">
        <v>0.2</v>
      </c>
      <c r="E51" s="1888"/>
      <c r="F51" s="1888">
        <v>3</v>
      </c>
      <c r="G51" s="1888"/>
      <c r="H51" s="1888">
        <v>0.5</v>
      </c>
      <c r="I51" s="1888"/>
      <c r="J51" s="1888" t="s">
        <v>1110</v>
      </c>
      <c r="K51" s="1888"/>
      <c r="L51" s="13"/>
      <c r="M51" s="13"/>
      <c r="N51" s="13"/>
      <c r="O51" s="13"/>
      <c r="P51" s="13"/>
      <c r="Q51" s="13"/>
    </row>
    <row r="52" spans="1:17" s="11" customFormat="1" ht="18" customHeight="1" x14ac:dyDescent="0.2">
      <c r="A52" s="12"/>
      <c r="B52" s="1888" t="s">
        <v>1111</v>
      </c>
      <c r="C52" s="1888"/>
      <c r="D52" s="2585" t="s">
        <v>1146</v>
      </c>
      <c r="E52" s="2586"/>
      <c r="F52" s="2585" t="s">
        <v>1133</v>
      </c>
      <c r="G52" s="2586"/>
      <c r="H52" s="2585" t="s">
        <v>1134</v>
      </c>
      <c r="I52" s="2586"/>
      <c r="J52" s="1888" t="s">
        <v>1110</v>
      </c>
      <c r="K52" s="1888"/>
      <c r="L52" s="13"/>
      <c r="M52" s="13"/>
      <c r="N52" s="13"/>
      <c r="O52" s="13"/>
      <c r="P52" s="13"/>
      <c r="Q52" s="13"/>
    </row>
    <row r="53" spans="1:17" s="11" customFormat="1" ht="18" customHeight="1" x14ac:dyDescent="0.2">
      <c r="A53" s="12"/>
      <c r="B53" s="1888"/>
      <c r="C53" s="1888"/>
      <c r="D53" s="2587"/>
      <c r="E53" s="2588"/>
      <c r="F53" s="2587"/>
      <c r="G53" s="2588"/>
      <c r="H53" s="2587"/>
      <c r="I53" s="2588"/>
      <c r="J53" s="1888"/>
      <c r="K53" s="1888"/>
      <c r="L53" s="13"/>
      <c r="M53" s="13"/>
      <c r="N53" s="13"/>
      <c r="O53" s="13"/>
      <c r="P53" s="13"/>
      <c r="Q53" s="13"/>
    </row>
    <row r="54" spans="1:17" s="11" customFormat="1" ht="18" customHeight="1" x14ac:dyDescent="0.2">
      <c r="A54" s="12"/>
      <c r="B54" s="1888" t="s">
        <v>1116</v>
      </c>
      <c r="C54" s="1888"/>
      <c r="D54" s="1888">
        <v>0.1</v>
      </c>
      <c r="E54" s="1888"/>
      <c r="F54" s="1888">
        <v>1</v>
      </c>
      <c r="G54" s="1888"/>
      <c r="H54" s="1888">
        <v>0.1</v>
      </c>
      <c r="I54" s="1888"/>
      <c r="J54" s="1888" t="s">
        <v>1110</v>
      </c>
      <c r="K54" s="1888"/>
      <c r="L54" s="13"/>
      <c r="M54" s="13"/>
      <c r="N54" s="13"/>
      <c r="O54" s="13"/>
      <c r="P54" s="13"/>
      <c r="Q54" s="13"/>
    </row>
    <row r="55" spans="1:17" s="11" customFormat="1" ht="18" customHeight="1" x14ac:dyDescent="0.2">
      <c r="A55" s="12"/>
      <c r="B55" s="1888" t="s">
        <v>1117</v>
      </c>
      <c r="C55" s="1888"/>
      <c r="D55" s="1888" t="s">
        <v>1119</v>
      </c>
      <c r="E55" s="1888"/>
      <c r="F55" s="1888" t="s">
        <v>1135</v>
      </c>
      <c r="G55" s="1888"/>
      <c r="H55" s="1888" t="s">
        <v>1119</v>
      </c>
      <c r="I55" s="1888"/>
      <c r="J55" s="1888" t="s">
        <v>1110</v>
      </c>
      <c r="K55" s="1888"/>
      <c r="L55" s="13"/>
      <c r="M55" s="13"/>
      <c r="N55" s="13"/>
      <c r="O55" s="13"/>
      <c r="P55" s="13"/>
      <c r="Q55" s="13"/>
    </row>
    <row r="56" spans="1:17" s="11" customFormat="1" ht="18" customHeight="1" x14ac:dyDescent="0.2">
      <c r="A56" s="12"/>
      <c r="B56" s="1888" t="s">
        <v>1120</v>
      </c>
      <c r="C56" s="1888"/>
      <c r="D56" s="1888">
        <v>0.1</v>
      </c>
      <c r="E56" s="1888"/>
      <c r="F56" s="1888">
        <v>2</v>
      </c>
      <c r="G56" s="1888"/>
      <c r="H56" s="1888">
        <v>0.4</v>
      </c>
      <c r="I56" s="1888"/>
      <c r="J56" s="1888" t="s">
        <v>1110</v>
      </c>
      <c r="K56" s="1888"/>
      <c r="L56" s="13"/>
      <c r="M56" s="13"/>
      <c r="N56" s="13"/>
      <c r="O56" s="13"/>
      <c r="P56" s="13"/>
      <c r="Q56" s="13"/>
    </row>
    <row r="57" spans="1:17" s="11" customFormat="1" ht="24" customHeight="1" x14ac:dyDescent="0.2">
      <c r="A57" s="12"/>
      <c r="B57" s="1888" t="s">
        <v>1121</v>
      </c>
      <c r="C57" s="1888"/>
      <c r="D57" s="1888">
        <v>0.2</v>
      </c>
      <c r="E57" s="1888"/>
      <c r="F57" s="1888">
        <v>3</v>
      </c>
      <c r="G57" s="1888"/>
      <c r="H57" s="1888">
        <v>0.5</v>
      </c>
      <c r="I57" s="1888"/>
      <c r="J57" s="1888" t="s">
        <v>1122</v>
      </c>
      <c r="K57" s="1888"/>
      <c r="L57" s="13"/>
      <c r="M57" s="13"/>
      <c r="N57" s="13"/>
      <c r="O57" s="13"/>
      <c r="P57" s="13"/>
      <c r="Q57" s="13"/>
    </row>
    <row r="58" spans="1:17" s="11" customFormat="1" ht="18" customHeight="1" x14ac:dyDescent="0.2">
      <c r="A58" s="12"/>
      <c r="B58" s="1888" t="s">
        <v>1123</v>
      </c>
      <c r="C58" s="1888"/>
      <c r="D58" s="1888">
        <v>0</v>
      </c>
      <c r="E58" s="1888"/>
      <c r="F58" s="1888">
        <v>0.1</v>
      </c>
      <c r="G58" s="1888"/>
      <c r="H58" s="1888">
        <v>0</v>
      </c>
      <c r="I58" s="1888"/>
      <c r="J58" s="1888" t="s">
        <v>1124</v>
      </c>
      <c r="K58" s="1888"/>
      <c r="L58" s="13"/>
      <c r="M58" s="13"/>
      <c r="N58" s="13"/>
      <c r="O58" s="13"/>
      <c r="P58" s="13"/>
      <c r="Q58" s="13"/>
    </row>
    <row r="59" spans="1:17" s="11" customFormat="1" ht="18" customHeight="1" x14ac:dyDescent="0.2">
      <c r="A59" s="12"/>
      <c r="B59" s="1888" t="s">
        <v>1125</v>
      </c>
      <c r="C59" s="1888"/>
      <c r="D59" s="1888">
        <v>0</v>
      </c>
      <c r="E59" s="1888"/>
      <c r="F59" s="1888">
        <v>1</v>
      </c>
      <c r="G59" s="1888"/>
      <c r="H59" s="1888">
        <v>0</v>
      </c>
      <c r="I59" s="1888"/>
      <c r="J59" s="1888" t="s">
        <v>1126</v>
      </c>
      <c r="K59" s="1888"/>
      <c r="L59" s="13"/>
      <c r="M59" s="13"/>
      <c r="N59" s="13"/>
      <c r="O59" s="13"/>
      <c r="P59" s="13"/>
      <c r="Q59" s="13"/>
    </row>
    <row r="60" spans="1:17" s="11" customFormat="1" ht="18" customHeight="1" x14ac:dyDescent="0.2">
      <c r="A60" s="12"/>
      <c r="B60" s="711" t="s">
        <v>1128</v>
      </c>
      <c r="C60" s="13"/>
      <c r="D60" s="13"/>
      <c r="E60" s="13"/>
      <c r="F60" s="13"/>
      <c r="G60" s="13"/>
      <c r="H60" s="13"/>
      <c r="I60" s="13"/>
      <c r="J60" s="13"/>
      <c r="K60" s="13"/>
      <c r="L60" s="13"/>
      <c r="M60" s="13"/>
      <c r="N60" s="13"/>
      <c r="O60" s="13"/>
      <c r="P60" s="13"/>
      <c r="Q60" s="13"/>
    </row>
    <row r="61" spans="1:17" s="11" customFormat="1" ht="18" customHeight="1" x14ac:dyDescent="0.2">
      <c r="A61" s="12"/>
      <c r="B61" s="13"/>
      <c r="C61" s="13"/>
      <c r="D61" s="13"/>
      <c r="E61" s="13"/>
      <c r="F61" s="13"/>
      <c r="G61" s="13"/>
      <c r="H61" s="13"/>
      <c r="I61" s="13"/>
      <c r="J61" s="13"/>
      <c r="K61" s="13"/>
      <c r="L61" s="13"/>
      <c r="M61" s="13"/>
      <c r="N61" s="13"/>
      <c r="O61" s="13"/>
      <c r="P61" s="13"/>
      <c r="Q61" s="13"/>
    </row>
    <row r="62" spans="1:17" s="11" customFormat="1" ht="18" customHeight="1" x14ac:dyDescent="0.2">
      <c r="A62" s="12"/>
      <c r="B62" s="2593" t="s">
        <v>1159</v>
      </c>
      <c r="C62" s="2593"/>
      <c r="D62" s="2593"/>
      <c r="E62" s="2593"/>
      <c r="F62" s="13"/>
      <c r="G62" s="13"/>
      <c r="H62" s="13"/>
      <c r="I62" s="13"/>
      <c r="J62" s="13"/>
      <c r="K62" s="13"/>
      <c r="L62" s="13"/>
      <c r="M62" s="13"/>
      <c r="N62" s="13"/>
      <c r="O62" s="13"/>
      <c r="P62" s="13"/>
      <c r="Q62" s="13"/>
    </row>
    <row r="63" spans="1:17" s="11" customFormat="1" ht="18" customHeight="1" x14ac:dyDescent="0.2">
      <c r="A63" s="12"/>
      <c r="B63" s="2594" t="s">
        <v>1105</v>
      </c>
      <c r="C63" s="2578"/>
      <c r="D63" s="2578" t="s">
        <v>1147</v>
      </c>
      <c r="E63" s="2578"/>
      <c r="F63" s="13"/>
      <c r="G63" s="13"/>
      <c r="H63" s="13"/>
      <c r="I63" s="13"/>
      <c r="J63" s="13"/>
      <c r="K63" s="13"/>
      <c r="L63" s="13"/>
      <c r="M63" s="13"/>
      <c r="N63" s="13"/>
      <c r="O63" s="13"/>
      <c r="P63" s="13"/>
      <c r="Q63" s="13"/>
    </row>
    <row r="64" spans="1:17" s="11" customFormat="1" ht="18" customHeight="1" x14ac:dyDescent="0.2">
      <c r="A64" s="12"/>
      <c r="B64" s="1888" t="s">
        <v>1148</v>
      </c>
      <c r="C64" s="1888"/>
      <c r="D64" s="1888" t="s">
        <v>1149</v>
      </c>
      <c r="E64" s="1888"/>
      <c r="F64" s="13"/>
      <c r="G64" s="13"/>
      <c r="H64" s="13"/>
      <c r="I64" s="13"/>
      <c r="J64" s="13"/>
      <c r="K64" s="13"/>
      <c r="L64" s="13"/>
      <c r="M64" s="13"/>
      <c r="N64" s="13"/>
      <c r="O64" s="13"/>
      <c r="P64" s="13"/>
      <c r="Q64" s="13"/>
    </row>
    <row r="65" spans="1:17" s="11" customFormat="1" ht="18" customHeight="1" x14ac:dyDescent="0.2">
      <c r="A65" s="12"/>
      <c r="B65" s="1888" t="s">
        <v>1150</v>
      </c>
      <c r="C65" s="1888"/>
      <c r="D65" s="1888" t="s">
        <v>1151</v>
      </c>
      <c r="E65" s="1888"/>
      <c r="F65" s="13"/>
      <c r="G65" s="13"/>
      <c r="H65" s="13"/>
      <c r="I65" s="13"/>
      <c r="J65" s="13"/>
      <c r="K65" s="13"/>
      <c r="L65" s="13"/>
      <c r="M65" s="13"/>
      <c r="N65" s="13"/>
      <c r="O65" s="13"/>
      <c r="P65" s="13"/>
      <c r="Q65" s="13"/>
    </row>
    <row r="66" spans="1:17" s="11" customFormat="1" ht="18" customHeight="1" x14ac:dyDescent="0.2">
      <c r="A66" s="12"/>
      <c r="B66" s="1888" t="s">
        <v>1152</v>
      </c>
      <c r="C66" s="1888"/>
      <c r="D66" s="1888" t="s">
        <v>1153</v>
      </c>
      <c r="E66" s="1888"/>
      <c r="F66" s="13"/>
      <c r="G66" s="13"/>
      <c r="H66" s="13"/>
      <c r="I66" s="13"/>
      <c r="J66" s="13"/>
      <c r="K66" s="13"/>
      <c r="L66" s="13"/>
      <c r="M66" s="13"/>
      <c r="N66" s="13"/>
      <c r="O66" s="13"/>
      <c r="P66" s="13"/>
      <c r="Q66" s="13"/>
    </row>
    <row r="67" spans="1:17" s="11" customFormat="1" ht="18" customHeight="1" x14ac:dyDescent="0.2">
      <c r="A67" s="12"/>
      <c r="B67" s="1888" t="s">
        <v>1154</v>
      </c>
      <c r="C67" s="1888"/>
      <c r="D67" s="1888" t="s">
        <v>1155</v>
      </c>
      <c r="E67" s="1888"/>
      <c r="F67" s="13"/>
      <c r="G67" s="13"/>
      <c r="H67" s="13"/>
      <c r="I67" s="13"/>
      <c r="J67" s="13"/>
      <c r="K67" s="13"/>
      <c r="L67" s="13"/>
      <c r="M67" s="13"/>
      <c r="N67" s="13"/>
      <c r="O67" s="13"/>
      <c r="P67" s="13"/>
      <c r="Q67" s="13"/>
    </row>
    <row r="68" spans="1:17" s="11" customFormat="1" ht="18" customHeight="1" x14ac:dyDescent="0.2">
      <c r="A68" s="12"/>
      <c r="B68" s="1888" t="s">
        <v>1156</v>
      </c>
      <c r="C68" s="1888"/>
      <c r="D68" s="1888" t="s">
        <v>1153</v>
      </c>
      <c r="E68" s="1888"/>
      <c r="F68" s="13"/>
      <c r="G68" s="13"/>
      <c r="H68" s="13"/>
      <c r="I68" s="13"/>
      <c r="J68" s="13"/>
      <c r="K68" s="13"/>
      <c r="L68" s="13"/>
      <c r="M68" s="13"/>
      <c r="N68" s="13"/>
      <c r="O68" s="13"/>
      <c r="P68" s="13"/>
      <c r="Q68" s="13"/>
    </row>
    <row r="69" spans="1:17" s="11" customFormat="1" ht="18" customHeight="1" x14ac:dyDescent="0.2">
      <c r="A69" s="12"/>
      <c r="B69" s="1888" t="s">
        <v>1138</v>
      </c>
      <c r="C69" s="1888"/>
      <c r="D69" s="1888" t="s">
        <v>1157</v>
      </c>
      <c r="E69" s="1888"/>
      <c r="F69" s="13"/>
      <c r="G69" s="13"/>
      <c r="H69" s="13"/>
      <c r="I69" s="13"/>
      <c r="J69" s="13"/>
      <c r="K69" s="13"/>
      <c r="L69" s="13"/>
      <c r="M69" s="13"/>
      <c r="N69" s="13"/>
      <c r="O69" s="13"/>
      <c r="P69" s="13"/>
      <c r="Q69" s="13"/>
    </row>
    <row r="70" spans="1:17" s="11" customFormat="1" ht="18" customHeight="1" x14ac:dyDescent="0.2">
      <c r="A70" s="12"/>
      <c r="B70" s="712" t="s">
        <v>1158</v>
      </c>
      <c r="C70" s="712"/>
      <c r="D70" s="712"/>
      <c r="E70" s="13"/>
      <c r="F70" s="13"/>
      <c r="G70" s="13"/>
      <c r="H70" s="13"/>
      <c r="I70" s="13"/>
      <c r="J70" s="13"/>
      <c r="K70" s="13"/>
      <c r="L70" s="13"/>
      <c r="M70" s="13"/>
      <c r="N70" s="13"/>
      <c r="O70" s="13"/>
      <c r="P70" s="13"/>
      <c r="Q70" s="13"/>
    </row>
    <row r="71" spans="1:17" s="11" customFormat="1" ht="12" customHeight="1" x14ac:dyDescent="0.2">
      <c r="A71" s="12"/>
      <c r="B71" s="13"/>
      <c r="C71" s="13"/>
      <c r="D71" s="13"/>
      <c r="E71" s="13"/>
      <c r="F71" s="13"/>
      <c r="G71" s="13"/>
      <c r="H71" s="13"/>
      <c r="I71" s="13"/>
      <c r="J71" s="13"/>
      <c r="K71" s="13"/>
      <c r="L71" s="13"/>
      <c r="M71" s="13"/>
      <c r="N71" s="13"/>
      <c r="O71" s="13"/>
      <c r="P71" s="13"/>
      <c r="Q71" s="13"/>
    </row>
    <row r="72" spans="1:17" s="11" customFormat="1" ht="12" customHeight="1" x14ac:dyDescent="0.2">
      <c r="A72" s="208"/>
      <c r="B72" s="208"/>
      <c r="C72" s="208"/>
      <c r="D72" s="208"/>
      <c r="E72" s="208"/>
      <c r="F72" s="208"/>
      <c r="G72" s="208"/>
      <c r="H72" s="208"/>
      <c r="I72" s="208"/>
      <c r="J72" s="208"/>
      <c r="K72" s="208"/>
      <c r="L72" s="208"/>
      <c r="M72" s="208"/>
      <c r="N72" s="208"/>
      <c r="O72" s="208"/>
      <c r="P72" s="208"/>
      <c r="Q72" s="208"/>
    </row>
    <row r="73" spans="1:17" s="11" customFormat="1" ht="24" customHeight="1" x14ac:dyDescent="0.2">
      <c r="A73" s="2570" t="s">
        <v>2307</v>
      </c>
      <c r="B73" s="2570"/>
      <c r="C73" s="2570"/>
      <c r="D73" s="2570"/>
      <c r="E73" s="2570"/>
      <c r="F73" s="2570"/>
      <c r="G73" s="12"/>
      <c r="H73" s="12"/>
      <c r="I73" s="12"/>
      <c r="J73" s="12"/>
      <c r="K73" s="12"/>
      <c r="L73" s="12"/>
      <c r="M73" s="12"/>
      <c r="N73" s="12"/>
      <c r="O73" s="12"/>
      <c r="P73" s="12"/>
      <c r="Q73" s="12"/>
    </row>
    <row r="74" spans="1:17" s="11" customFormat="1" ht="15" customHeight="1" x14ac:dyDescent="0.2">
      <c r="A74" s="12"/>
      <c r="B74" s="12"/>
      <c r="C74" s="12"/>
      <c r="D74" s="12"/>
      <c r="E74" s="12"/>
      <c r="F74" s="12"/>
      <c r="G74" s="12"/>
      <c r="H74" s="12"/>
      <c r="I74" s="12"/>
      <c r="J74" s="12"/>
      <c r="K74" s="12"/>
      <c r="L74" s="12"/>
      <c r="M74" s="12"/>
      <c r="N74" s="12"/>
      <c r="O74" s="12"/>
      <c r="P74" s="12"/>
      <c r="Q74" s="12"/>
    </row>
    <row r="75" spans="1:17" s="11" customFormat="1" ht="27" customHeight="1" x14ac:dyDescent="0.2">
      <c r="A75" s="2571" t="s">
        <v>2308</v>
      </c>
      <c r="B75" s="2571"/>
      <c r="C75" s="2571"/>
      <c r="D75" s="2571"/>
      <c r="E75" s="2571"/>
      <c r="F75" s="2571"/>
      <c r="G75" s="12"/>
      <c r="H75" s="2571" t="s">
        <v>2309</v>
      </c>
      <c r="I75" s="2571"/>
      <c r="J75" s="2571"/>
      <c r="K75" s="2571"/>
      <c r="L75" s="2571"/>
      <c r="M75" s="2571"/>
      <c r="N75" s="12"/>
      <c r="O75" s="12"/>
      <c r="P75" s="12"/>
      <c r="Q75" s="12"/>
    </row>
    <row r="76" spans="1:17" s="11" customFormat="1" ht="15.75" customHeight="1" x14ac:dyDescent="0.2">
      <c r="A76" s="2571"/>
      <c r="B76" s="2571"/>
      <c r="C76" s="2571"/>
      <c r="D76" s="2571"/>
      <c r="E76" s="2571"/>
      <c r="F76" s="2571"/>
      <c r="G76" s="12"/>
      <c r="H76" s="2571"/>
      <c r="I76" s="2571"/>
      <c r="J76" s="2571"/>
      <c r="K76" s="2571"/>
      <c r="L76" s="2571"/>
      <c r="M76" s="2571"/>
      <c r="N76" s="12"/>
      <c r="O76" s="12"/>
      <c r="P76" s="12"/>
      <c r="Q76" s="12"/>
    </row>
    <row r="77" spans="1:17" s="11" customFormat="1" ht="15" customHeight="1" x14ac:dyDescent="0.2">
      <c r="A77" s="12"/>
      <c r="B77" s="12"/>
      <c r="C77" s="12"/>
      <c r="D77" s="12"/>
      <c r="E77" s="12"/>
      <c r="F77" s="12"/>
      <c r="G77" s="12"/>
      <c r="H77" s="12"/>
      <c r="I77" s="12"/>
      <c r="J77" s="12"/>
      <c r="K77" s="12"/>
      <c r="L77" s="12"/>
      <c r="M77" s="12"/>
      <c r="N77" s="12"/>
      <c r="O77" s="12"/>
      <c r="P77" s="12"/>
      <c r="Q77" s="12"/>
    </row>
    <row r="78" spans="1:17" s="11" customFormat="1" ht="23.25" customHeight="1" x14ac:dyDescent="0.2">
      <c r="A78" s="12"/>
      <c r="B78" s="12"/>
      <c r="C78" s="12"/>
      <c r="D78" s="12"/>
      <c r="E78" s="12"/>
      <c r="F78" s="12"/>
      <c r="G78" s="12"/>
      <c r="H78" s="12"/>
      <c r="I78" s="12"/>
      <c r="J78" s="12"/>
      <c r="K78" s="12"/>
      <c r="L78" s="12"/>
      <c r="M78" s="12"/>
      <c r="N78" s="12"/>
      <c r="O78" s="12"/>
      <c r="P78" s="12"/>
      <c r="Q78" s="12"/>
    </row>
    <row r="79" spans="1:17" s="11" customFormat="1" ht="23.25" customHeight="1" x14ac:dyDescent="0.2">
      <c r="A79" s="12"/>
      <c r="B79" s="12"/>
      <c r="C79" s="12"/>
      <c r="D79" s="12"/>
      <c r="E79" s="12"/>
      <c r="F79" s="12"/>
      <c r="G79" s="12"/>
      <c r="H79" s="12"/>
      <c r="I79" s="12"/>
      <c r="J79" s="12"/>
      <c r="K79" s="12"/>
      <c r="L79" s="12"/>
      <c r="M79" s="12"/>
      <c r="N79" s="12"/>
      <c r="O79" s="12"/>
      <c r="P79" s="12"/>
      <c r="Q79" s="12"/>
    </row>
    <row r="80" spans="1:17" s="11" customFormat="1" ht="23.25" customHeight="1" x14ac:dyDescent="0.2">
      <c r="A80" s="12"/>
      <c r="B80" s="12"/>
      <c r="C80" s="12"/>
      <c r="D80" s="12"/>
      <c r="E80" s="12"/>
      <c r="F80" s="12"/>
      <c r="G80" s="12"/>
      <c r="H80" s="12"/>
      <c r="I80" s="12"/>
      <c r="J80" s="12"/>
      <c r="K80" s="12"/>
      <c r="L80" s="12"/>
      <c r="M80" s="12"/>
      <c r="N80" s="12"/>
      <c r="O80" s="12"/>
      <c r="P80" s="12"/>
      <c r="Q80" s="12"/>
    </row>
    <row r="81" spans="1:17" s="11" customFormat="1" ht="15" customHeight="1" x14ac:dyDescent="0.2">
      <c r="A81" s="12"/>
      <c r="B81" s="12"/>
      <c r="C81" s="12"/>
      <c r="D81" s="12"/>
      <c r="E81" s="12"/>
      <c r="F81" s="12"/>
      <c r="G81" s="12"/>
      <c r="H81" s="12"/>
      <c r="I81" s="12"/>
      <c r="J81" s="12"/>
      <c r="K81" s="12"/>
      <c r="L81" s="12"/>
      <c r="M81" s="12"/>
      <c r="N81" s="12"/>
      <c r="O81" s="12"/>
      <c r="P81" s="12"/>
      <c r="Q81" s="12"/>
    </row>
    <row r="82" spans="1:17" s="11" customFormat="1" ht="15" customHeight="1" x14ac:dyDescent="0.2">
      <c r="A82" s="12"/>
      <c r="B82" s="12"/>
      <c r="C82" s="12"/>
      <c r="D82" s="12"/>
      <c r="E82" s="12"/>
      <c r="F82" s="12"/>
      <c r="G82" s="12"/>
      <c r="H82" s="12"/>
      <c r="I82" s="12"/>
      <c r="J82" s="12"/>
      <c r="K82" s="12"/>
      <c r="L82" s="12"/>
      <c r="M82" s="12"/>
      <c r="N82" s="12"/>
      <c r="O82" s="12"/>
      <c r="P82" s="12"/>
      <c r="Q82" s="12"/>
    </row>
    <row r="83" spans="1:17" s="11" customFormat="1" ht="15" customHeight="1" x14ac:dyDescent="0.2">
      <c r="A83" s="12"/>
      <c r="B83" s="12"/>
      <c r="C83" s="12"/>
      <c r="D83" s="12"/>
      <c r="E83" s="12"/>
      <c r="F83" s="12"/>
      <c r="G83" s="12"/>
      <c r="H83" s="12"/>
      <c r="I83" s="12"/>
      <c r="J83" s="12"/>
      <c r="K83" s="12"/>
      <c r="L83" s="12"/>
      <c r="M83" s="12"/>
      <c r="N83" s="12"/>
      <c r="O83" s="12"/>
      <c r="P83" s="12"/>
      <c r="Q83" s="12"/>
    </row>
    <row r="84" spans="1:17" s="11" customFormat="1" ht="15" customHeight="1" x14ac:dyDescent="0.2">
      <c r="A84" s="12"/>
      <c r="B84" s="12"/>
      <c r="C84" s="12"/>
      <c r="D84" s="12"/>
      <c r="E84" s="12"/>
      <c r="F84" s="12"/>
      <c r="G84" s="12"/>
      <c r="H84" s="12"/>
      <c r="I84" s="12"/>
      <c r="J84" s="12"/>
      <c r="K84" s="12"/>
      <c r="L84" s="12"/>
      <c r="M84" s="12"/>
      <c r="N84" s="12"/>
      <c r="O84" s="12"/>
      <c r="P84" s="12"/>
      <c r="Q84" s="12"/>
    </row>
    <row r="85" spans="1:17" s="11" customFormat="1" ht="15" customHeight="1" x14ac:dyDescent="0.2">
      <c r="A85" s="12"/>
      <c r="B85" s="12"/>
      <c r="C85" s="12"/>
      <c r="D85" s="12"/>
      <c r="E85" s="12"/>
      <c r="F85" s="12"/>
      <c r="G85" s="12"/>
      <c r="H85" s="12"/>
      <c r="I85" s="12"/>
      <c r="J85" s="12"/>
      <c r="K85" s="12"/>
      <c r="L85" s="12"/>
      <c r="M85" s="12"/>
      <c r="N85" s="12"/>
      <c r="O85" s="12"/>
      <c r="P85" s="12"/>
      <c r="Q85" s="12"/>
    </row>
    <row r="86" spans="1:17" s="11" customFormat="1" ht="15" customHeight="1" x14ac:dyDescent="0.2">
      <c r="A86" s="12"/>
      <c r="B86" s="12"/>
      <c r="C86" s="12"/>
      <c r="D86" s="12"/>
      <c r="E86" s="12"/>
      <c r="F86" s="12"/>
      <c r="G86" s="12"/>
      <c r="H86" s="12"/>
      <c r="I86" s="12"/>
      <c r="J86" s="12"/>
      <c r="K86" s="12"/>
      <c r="L86" s="12"/>
      <c r="M86" s="12"/>
      <c r="N86" s="12"/>
      <c r="O86" s="12"/>
      <c r="P86" s="12"/>
      <c r="Q86" s="12"/>
    </row>
    <row r="87" spans="1:17" s="11" customFormat="1" ht="15" customHeight="1" x14ac:dyDescent="0.2">
      <c r="A87" s="208"/>
      <c r="B87" s="208"/>
      <c r="C87" s="208"/>
      <c r="D87" s="208"/>
      <c r="E87" s="208"/>
      <c r="F87" s="208"/>
      <c r="G87" s="208"/>
      <c r="H87" s="208"/>
      <c r="I87" s="208"/>
      <c r="J87" s="208"/>
      <c r="K87" s="208"/>
      <c r="L87" s="208"/>
      <c r="M87" s="208"/>
      <c r="N87" s="208"/>
      <c r="O87" s="208"/>
      <c r="P87" s="208"/>
      <c r="Q87" s="208"/>
    </row>
    <row r="88" spans="1:17" s="11" customFormat="1" ht="21.75" customHeight="1" x14ac:dyDescent="0.2">
      <c r="A88" s="2592" t="s">
        <v>1827</v>
      </c>
      <c r="B88" s="2592"/>
      <c r="C88" s="2592"/>
      <c r="D88" s="2592"/>
      <c r="E88" s="2592"/>
      <c r="F88" s="2592"/>
      <c r="G88" s="13"/>
      <c r="H88" s="13"/>
      <c r="I88" s="13"/>
      <c r="J88" s="13"/>
      <c r="K88" s="13"/>
      <c r="L88" s="13"/>
      <c r="M88" s="13"/>
      <c r="N88" s="13"/>
      <c r="O88" s="13"/>
      <c r="P88" s="13"/>
      <c r="Q88" s="13"/>
    </row>
    <row r="89" spans="1:17" s="11" customFormat="1" ht="15" customHeight="1" x14ac:dyDescent="0.2">
      <c r="A89" s="12"/>
      <c r="B89" s="12"/>
      <c r="C89" s="12"/>
      <c r="D89" s="12"/>
      <c r="E89" s="12"/>
      <c r="F89" s="12"/>
      <c r="G89" s="13"/>
      <c r="H89" s="13"/>
      <c r="I89" s="13"/>
      <c r="J89" s="13"/>
      <c r="K89" s="13"/>
      <c r="L89" s="13"/>
      <c r="M89" s="13"/>
      <c r="N89" s="13"/>
      <c r="O89" s="13"/>
      <c r="P89" s="13"/>
      <c r="Q89" s="13"/>
    </row>
    <row r="90" spans="1:17" s="11" customFormat="1" ht="18" customHeight="1" x14ac:dyDescent="0.2">
      <c r="A90" s="12"/>
      <c r="B90" s="2574" t="s">
        <v>190</v>
      </c>
      <c r="C90" s="2574"/>
      <c r="D90" s="2574"/>
      <c r="E90" s="2574"/>
      <c r="F90" s="12"/>
      <c r="G90" s="13"/>
      <c r="H90" s="2580" t="s">
        <v>184</v>
      </c>
      <c r="I90" s="2580"/>
      <c r="J90" s="2580"/>
      <c r="K90" s="2580"/>
      <c r="L90" s="2580"/>
      <c r="M90" s="2580"/>
      <c r="N90" s="2580"/>
      <c r="O90" s="2580"/>
      <c r="P90" s="2580"/>
      <c r="Q90" s="13"/>
    </row>
    <row r="91" spans="1:17" s="11" customFormat="1" ht="15" customHeight="1" x14ac:dyDescent="0.2">
      <c r="A91" s="12"/>
      <c r="B91" s="2572" t="s">
        <v>86</v>
      </c>
      <c r="C91" s="2572" t="s">
        <v>175</v>
      </c>
      <c r="D91" s="2572" t="s">
        <v>176</v>
      </c>
      <c r="E91" s="2572"/>
      <c r="F91" s="12"/>
      <c r="G91" s="13"/>
      <c r="H91" s="13"/>
      <c r="I91" s="13"/>
      <c r="J91" s="13"/>
      <c r="K91" s="13"/>
      <c r="L91" s="13"/>
      <c r="M91" s="13"/>
      <c r="N91" s="13"/>
      <c r="O91" s="13"/>
      <c r="P91" s="13"/>
      <c r="Q91" s="13"/>
    </row>
    <row r="92" spans="1:17" s="11" customFormat="1" ht="15" customHeight="1" x14ac:dyDescent="0.2">
      <c r="A92" s="12"/>
      <c r="B92" s="2572"/>
      <c r="C92" s="2572"/>
      <c r="D92" s="209" t="s">
        <v>177</v>
      </c>
      <c r="E92" s="209" t="s">
        <v>178</v>
      </c>
      <c r="F92" s="12"/>
      <c r="G92" s="13"/>
      <c r="H92" s="13"/>
      <c r="I92" s="13"/>
      <c r="J92" s="13"/>
      <c r="K92" s="13"/>
      <c r="L92" s="13"/>
      <c r="M92" s="13"/>
      <c r="N92" s="13"/>
      <c r="O92" s="13"/>
      <c r="P92" s="13"/>
      <c r="Q92" s="13"/>
    </row>
    <row r="93" spans="1:17" s="11" customFormat="1" ht="15" customHeight="1" x14ac:dyDescent="0.2">
      <c r="A93" s="12"/>
      <c r="B93" s="2573" t="s">
        <v>179</v>
      </c>
      <c r="C93" s="210" t="s">
        <v>180</v>
      </c>
      <c r="D93" s="210">
        <v>0.9</v>
      </c>
      <c r="E93" s="210">
        <v>0.8</v>
      </c>
      <c r="F93" s="12"/>
      <c r="G93" s="13"/>
      <c r="H93" s="13"/>
      <c r="I93" s="13"/>
      <c r="J93" s="13"/>
      <c r="K93" s="13"/>
      <c r="L93" s="13"/>
      <c r="M93" s="13"/>
      <c r="N93" s="13"/>
      <c r="O93" s="13"/>
      <c r="P93" s="13"/>
      <c r="Q93" s="13"/>
    </row>
    <row r="94" spans="1:17" s="11" customFormat="1" ht="15" customHeight="1" x14ac:dyDescent="0.2">
      <c r="A94" s="12"/>
      <c r="B94" s="2573"/>
      <c r="C94" s="210" t="s">
        <v>181</v>
      </c>
      <c r="D94" s="210">
        <v>0.8</v>
      </c>
      <c r="E94" s="210">
        <v>0.7</v>
      </c>
      <c r="F94" s="12"/>
      <c r="G94" s="13"/>
      <c r="H94" s="13"/>
      <c r="I94" s="13"/>
      <c r="J94" s="13"/>
      <c r="K94" s="13"/>
      <c r="L94" s="13"/>
      <c r="M94" s="13"/>
      <c r="N94" s="13"/>
      <c r="O94" s="13"/>
      <c r="P94" s="13"/>
      <c r="Q94" s="13"/>
    </row>
    <row r="95" spans="1:17" s="11" customFormat="1" ht="15" customHeight="1" x14ac:dyDescent="0.2">
      <c r="A95" s="12"/>
      <c r="B95" s="2573"/>
      <c r="C95" s="210" t="s">
        <v>182</v>
      </c>
      <c r="D95" s="210">
        <v>0.7</v>
      </c>
      <c r="E95" s="210">
        <v>0.6</v>
      </c>
      <c r="F95" s="12"/>
      <c r="G95" s="13"/>
      <c r="H95" s="13"/>
      <c r="I95" s="13"/>
      <c r="J95" s="13"/>
      <c r="K95" s="13"/>
      <c r="L95" s="13"/>
      <c r="M95" s="13"/>
      <c r="N95" s="13"/>
      <c r="O95" s="13"/>
      <c r="P95" s="13"/>
      <c r="Q95" s="13"/>
    </row>
    <row r="96" spans="1:17" s="11" customFormat="1" ht="15" customHeight="1" x14ac:dyDescent="0.2">
      <c r="A96" s="12"/>
      <c r="B96" s="2573" t="s">
        <v>183</v>
      </c>
      <c r="C96" s="210" t="s">
        <v>180</v>
      </c>
      <c r="D96" s="210">
        <v>0.8</v>
      </c>
      <c r="E96" s="210">
        <v>0.7</v>
      </c>
      <c r="F96" s="12"/>
      <c r="G96" s="13"/>
      <c r="H96" s="13"/>
      <c r="I96" s="13"/>
      <c r="J96" s="13"/>
      <c r="K96" s="13"/>
      <c r="L96" s="13"/>
      <c r="M96" s="13"/>
      <c r="N96" s="13"/>
      <c r="O96" s="13"/>
      <c r="P96" s="13"/>
      <c r="Q96" s="13"/>
    </row>
    <row r="97" spans="1:17" s="11" customFormat="1" ht="15" customHeight="1" x14ac:dyDescent="0.2">
      <c r="A97" s="12"/>
      <c r="B97" s="2573"/>
      <c r="C97" s="210" t="s">
        <v>181</v>
      </c>
      <c r="D97" s="210">
        <v>0.7</v>
      </c>
      <c r="E97" s="210">
        <v>0.6</v>
      </c>
      <c r="F97" s="12"/>
      <c r="G97" s="13"/>
      <c r="H97" s="13"/>
      <c r="I97" s="13"/>
      <c r="J97" s="13"/>
      <c r="K97" s="13"/>
      <c r="L97" s="13"/>
      <c r="M97" s="13"/>
      <c r="N97" s="13"/>
      <c r="O97" s="13"/>
      <c r="P97" s="13"/>
      <c r="Q97" s="13"/>
    </row>
    <row r="98" spans="1:17" s="11" customFormat="1" ht="15" customHeight="1" x14ac:dyDescent="0.2">
      <c r="A98" s="12"/>
      <c r="B98" s="2573"/>
      <c r="C98" s="210" t="s">
        <v>182</v>
      </c>
      <c r="D98" s="210">
        <v>0.6</v>
      </c>
      <c r="E98" s="210">
        <v>0.5</v>
      </c>
      <c r="F98" s="12"/>
      <c r="G98" s="13"/>
      <c r="H98" s="13"/>
      <c r="I98" s="13"/>
      <c r="J98" s="13"/>
      <c r="K98" s="13"/>
      <c r="L98" s="13"/>
      <c r="M98" s="13"/>
      <c r="N98" s="13"/>
      <c r="O98" s="13"/>
      <c r="P98" s="13"/>
      <c r="Q98" s="13"/>
    </row>
    <row r="99" spans="1:17" s="11" customFormat="1" ht="15" customHeight="1" x14ac:dyDescent="0.2">
      <c r="A99" s="12"/>
      <c r="B99" s="211" t="s">
        <v>191</v>
      </c>
      <c r="C99" s="12"/>
      <c r="D99" s="12"/>
      <c r="E99" s="12"/>
      <c r="F99" s="12"/>
      <c r="G99" s="13"/>
      <c r="H99" s="13"/>
      <c r="I99" s="13"/>
      <c r="J99" s="13"/>
      <c r="K99" s="13"/>
      <c r="L99" s="13"/>
      <c r="M99" s="13"/>
      <c r="N99" s="13"/>
      <c r="O99" s="13"/>
      <c r="P99" s="13"/>
      <c r="Q99" s="13"/>
    </row>
    <row r="100" spans="1:17" s="11" customFormat="1" ht="15" customHeight="1" x14ac:dyDescent="0.2">
      <c r="A100" s="241"/>
      <c r="B100" s="241"/>
      <c r="C100" s="241"/>
      <c r="D100" s="241"/>
      <c r="E100" s="241"/>
      <c r="F100" s="241"/>
      <c r="G100" s="241"/>
      <c r="H100" s="13"/>
      <c r="I100" s="13"/>
      <c r="J100" s="13"/>
      <c r="K100" s="13"/>
      <c r="L100" s="13"/>
      <c r="M100" s="13"/>
      <c r="N100" s="13"/>
      <c r="O100" s="13"/>
      <c r="P100" s="13"/>
      <c r="Q100" s="13"/>
    </row>
    <row r="101" spans="1:17" s="11" customFormat="1" ht="15" customHeight="1" x14ac:dyDescent="0.2">
      <c r="A101" s="2575" t="s">
        <v>216</v>
      </c>
      <c r="B101" s="2576"/>
      <c r="C101" s="2576"/>
      <c r="D101" s="2576"/>
      <c r="E101" s="2576"/>
      <c r="F101" s="2576"/>
      <c r="G101" s="241"/>
      <c r="H101" s="13"/>
      <c r="I101" s="13"/>
      <c r="J101" s="13"/>
      <c r="K101" s="13"/>
      <c r="L101" s="13"/>
      <c r="M101" s="13"/>
      <c r="N101" s="13"/>
      <c r="O101" s="13"/>
      <c r="P101" s="13"/>
      <c r="Q101" s="13"/>
    </row>
    <row r="102" spans="1:17" s="11" customFormat="1" ht="14.25" customHeight="1" x14ac:dyDescent="0.2">
      <c r="B102" s="2569" t="s">
        <v>207</v>
      </c>
      <c r="C102" s="2569"/>
      <c r="D102" s="2569"/>
      <c r="E102" s="2569" t="s">
        <v>208</v>
      </c>
      <c r="F102" s="2569"/>
      <c r="G102" s="241"/>
      <c r="I102" s="240"/>
      <c r="J102" s="240"/>
      <c r="K102" s="240"/>
      <c r="L102" s="240"/>
      <c r="M102" s="240"/>
      <c r="N102" s="240"/>
      <c r="O102" s="240"/>
      <c r="P102" s="240"/>
      <c r="Q102" s="13"/>
    </row>
    <row r="103" spans="1:17" s="11" customFormat="1" ht="15" customHeight="1" x14ac:dyDescent="0.2">
      <c r="A103" s="241"/>
      <c r="B103" s="2569"/>
      <c r="C103" s="2569"/>
      <c r="D103" s="2569"/>
      <c r="E103" s="2569"/>
      <c r="F103" s="2569"/>
      <c r="G103" s="241"/>
      <c r="H103" s="240"/>
      <c r="I103" s="240"/>
      <c r="J103" s="240"/>
      <c r="K103" s="240"/>
      <c r="L103" s="240"/>
      <c r="M103" s="240"/>
      <c r="N103" s="240"/>
      <c r="O103" s="240"/>
      <c r="P103" s="240"/>
      <c r="Q103" s="13"/>
    </row>
    <row r="104" spans="1:17" s="11" customFormat="1" ht="14.25" x14ac:dyDescent="0.2">
      <c r="A104" s="241"/>
      <c r="B104" s="1888" t="s">
        <v>209</v>
      </c>
      <c r="C104" s="1888" t="s">
        <v>210</v>
      </c>
      <c r="D104" s="1888"/>
      <c r="E104" s="1888">
        <v>0.9</v>
      </c>
      <c r="F104" s="1888"/>
      <c r="G104" s="241"/>
      <c r="H104" s="13"/>
      <c r="I104" s="2581" t="s">
        <v>188</v>
      </c>
      <c r="J104" s="2581"/>
      <c r="K104" s="2581"/>
      <c r="L104" s="2581"/>
      <c r="M104" s="2581"/>
      <c r="N104" s="2581"/>
      <c r="O104" s="13"/>
      <c r="P104" s="13"/>
      <c r="Q104" s="13"/>
    </row>
    <row r="105" spans="1:17" s="11" customFormat="1" ht="15" customHeight="1" x14ac:dyDescent="0.2">
      <c r="A105" s="241"/>
      <c r="B105" s="1888"/>
      <c r="C105" s="1888" t="s">
        <v>211</v>
      </c>
      <c r="D105" s="1888"/>
      <c r="E105" s="1888">
        <v>0.68</v>
      </c>
      <c r="F105" s="1888"/>
      <c r="G105" s="241"/>
      <c r="H105" s="13"/>
      <c r="I105" s="13"/>
      <c r="J105" s="2566" t="s">
        <v>185</v>
      </c>
      <c r="K105" s="2566"/>
      <c r="L105" s="2566" t="s">
        <v>186</v>
      </c>
      <c r="M105" s="2566"/>
      <c r="N105" s="13"/>
      <c r="O105" s="13"/>
      <c r="P105" s="13"/>
      <c r="Q105" s="13"/>
    </row>
    <row r="106" spans="1:17" s="11" customFormat="1" ht="15" customHeight="1" x14ac:dyDescent="0.2">
      <c r="A106" s="241"/>
      <c r="B106" s="1888"/>
      <c r="C106" s="1888" t="s">
        <v>212</v>
      </c>
      <c r="D106" s="1888"/>
      <c r="E106" s="1888">
        <v>0.27</v>
      </c>
      <c r="F106" s="1888"/>
      <c r="G106" s="241"/>
      <c r="H106" s="13"/>
      <c r="I106" s="13"/>
      <c r="J106" s="2591"/>
      <c r="K106" s="2591"/>
      <c r="L106" s="2591"/>
      <c r="M106" s="2591"/>
      <c r="N106" s="13"/>
      <c r="O106" s="13"/>
      <c r="P106" s="13"/>
      <c r="Q106" s="13"/>
    </row>
    <row r="107" spans="1:17" s="11" customFormat="1" ht="15" customHeight="1" x14ac:dyDescent="0.2">
      <c r="A107" s="241"/>
      <c r="B107" s="1888" t="s">
        <v>213</v>
      </c>
      <c r="C107" s="1888" t="s">
        <v>210</v>
      </c>
      <c r="D107" s="1888"/>
      <c r="E107" s="1888">
        <v>0.81</v>
      </c>
      <c r="F107" s="1888"/>
      <c r="G107" s="241"/>
      <c r="H107" s="13"/>
      <c r="I107" s="13"/>
      <c r="J107" s="2589" t="s">
        <v>163</v>
      </c>
      <c r="K107" s="2590"/>
      <c r="L107" s="2589">
        <v>0.7</v>
      </c>
      <c r="M107" s="2590"/>
      <c r="N107" s="13"/>
      <c r="O107" s="13"/>
      <c r="P107" s="13"/>
      <c r="Q107" s="13"/>
    </row>
    <row r="108" spans="1:17" s="11" customFormat="1" ht="15" customHeight="1" x14ac:dyDescent="0.2">
      <c r="A108" s="241"/>
      <c r="B108" s="1888"/>
      <c r="C108" s="1888" t="s">
        <v>211</v>
      </c>
      <c r="D108" s="1888"/>
      <c r="E108" s="1888">
        <v>0.62</v>
      </c>
      <c r="F108" s="1888"/>
      <c r="G108" s="241"/>
      <c r="H108" s="13"/>
      <c r="I108" s="13"/>
      <c r="J108" s="2589" t="s">
        <v>187</v>
      </c>
      <c r="K108" s="2590"/>
      <c r="L108" s="2589">
        <v>0.5</v>
      </c>
      <c r="M108" s="2590"/>
      <c r="N108" s="13"/>
      <c r="O108" s="13"/>
      <c r="P108" s="13"/>
      <c r="Q108" s="13"/>
    </row>
    <row r="109" spans="1:17" s="11" customFormat="1" ht="15" customHeight="1" x14ac:dyDescent="0.2">
      <c r="A109" s="241"/>
      <c r="B109" s="1888"/>
      <c r="C109" s="1888" t="s">
        <v>212</v>
      </c>
      <c r="D109" s="1888"/>
      <c r="E109" s="1888">
        <v>0.1</v>
      </c>
      <c r="F109" s="1888"/>
      <c r="G109" s="241"/>
      <c r="H109" s="13"/>
      <c r="I109" s="13"/>
      <c r="J109" s="2589" t="s">
        <v>165</v>
      </c>
      <c r="K109" s="2590"/>
      <c r="L109" s="2589">
        <v>0.2</v>
      </c>
      <c r="M109" s="2590"/>
      <c r="N109" s="13"/>
      <c r="O109" s="13"/>
      <c r="P109" s="13"/>
      <c r="Q109" s="13"/>
    </row>
    <row r="110" spans="1:17" s="11" customFormat="1" ht="15" customHeight="1" x14ac:dyDescent="0.2">
      <c r="A110" s="241"/>
      <c r="B110" s="1888"/>
      <c r="C110" s="1888" t="s">
        <v>214</v>
      </c>
      <c r="D110" s="1888"/>
      <c r="E110" s="1888">
        <v>0.75</v>
      </c>
      <c r="F110" s="1888"/>
      <c r="G110" s="241"/>
      <c r="H110" s="13"/>
      <c r="I110" s="13"/>
      <c r="J110" s="211" t="s">
        <v>189</v>
      </c>
      <c r="K110" s="13"/>
      <c r="L110" s="13"/>
      <c r="M110" s="13"/>
      <c r="N110" s="13"/>
      <c r="O110" s="13"/>
      <c r="P110" s="13"/>
      <c r="Q110" s="13"/>
    </row>
    <row r="111" spans="1:17" s="11" customFormat="1" ht="15" customHeight="1" x14ac:dyDescent="0.2">
      <c r="A111" s="241"/>
      <c r="B111" s="1888"/>
      <c r="C111" s="1888" t="s">
        <v>215</v>
      </c>
      <c r="D111" s="1888"/>
      <c r="E111" s="1888">
        <v>0.64</v>
      </c>
      <c r="F111" s="1888"/>
      <c r="G111" s="241"/>
      <c r="H111" s="13"/>
      <c r="I111" s="13"/>
      <c r="J111" s="211"/>
      <c r="K111" s="13"/>
      <c r="L111" s="13"/>
      <c r="M111" s="13"/>
      <c r="N111" s="13"/>
      <c r="O111" s="13"/>
      <c r="P111" s="13"/>
      <c r="Q111" s="13"/>
    </row>
    <row r="112" spans="1:17" s="11" customFormat="1" ht="15" customHeight="1" x14ac:dyDescent="0.2">
      <c r="A112" s="241"/>
      <c r="B112" s="242" t="s">
        <v>217</v>
      </c>
      <c r="C112" s="241"/>
      <c r="D112" s="241"/>
      <c r="E112" s="241"/>
      <c r="F112" s="241"/>
      <c r="G112" s="241"/>
      <c r="H112" s="13"/>
      <c r="I112" s="13"/>
      <c r="J112" s="211"/>
      <c r="K112" s="13"/>
      <c r="L112" s="13"/>
      <c r="M112" s="13"/>
      <c r="N112" s="13"/>
      <c r="O112" s="13"/>
      <c r="P112" s="13"/>
      <c r="Q112" s="13"/>
    </row>
    <row r="113" spans="1:17" s="11" customFormat="1" ht="15" customHeight="1" x14ac:dyDescent="0.2">
      <c r="A113" s="241"/>
      <c r="B113" s="242"/>
      <c r="C113" s="241"/>
      <c r="D113" s="241"/>
      <c r="E113" s="241"/>
      <c r="F113" s="241"/>
      <c r="G113" s="241"/>
      <c r="H113" s="13"/>
      <c r="I113" s="13"/>
      <c r="J113" s="211"/>
      <c r="K113" s="13"/>
      <c r="L113" s="13"/>
      <c r="M113" s="13"/>
      <c r="N113" s="13"/>
      <c r="O113" s="13"/>
      <c r="P113" s="13"/>
      <c r="Q113" s="13"/>
    </row>
    <row r="114" spans="1:17" s="11" customFormat="1" ht="15" customHeight="1" x14ac:dyDescent="0.2">
      <c r="A114" s="208"/>
      <c r="B114" s="208"/>
      <c r="C114" s="208"/>
      <c r="D114" s="208"/>
      <c r="E114" s="208"/>
      <c r="F114" s="208"/>
      <c r="G114" s="208"/>
      <c r="H114" s="208"/>
      <c r="I114" s="208"/>
      <c r="J114" s="208"/>
      <c r="K114" s="208"/>
      <c r="L114" s="208"/>
      <c r="M114" s="208"/>
      <c r="N114" s="208"/>
      <c r="O114" s="208"/>
      <c r="P114" s="208"/>
      <c r="Q114" s="208"/>
    </row>
    <row r="115" spans="1:17" s="11" customFormat="1" ht="21.75" customHeight="1" x14ac:dyDescent="0.2">
      <c r="A115" s="2549" t="s">
        <v>2504</v>
      </c>
      <c r="B115" s="2549"/>
      <c r="C115" s="2549"/>
      <c r="D115" s="2549"/>
      <c r="E115" s="2549"/>
      <c r="F115" s="2549"/>
      <c r="G115" s="2549"/>
      <c r="H115" s="2549"/>
      <c r="I115" s="2549"/>
      <c r="J115" s="2549"/>
      <c r="K115" s="13"/>
      <c r="L115" s="13"/>
      <c r="M115" s="13"/>
      <c r="N115" s="13"/>
      <c r="O115" s="13"/>
      <c r="P115" s="13"/>
      <c r="Q115" s="13"/>
    </row>
    <row r="116" spans="1:17" s="11" customFormat="1" ht="15" customHeight="1" x14ac:dyDescent="0.2">
      <c r="A116" s="241"/>
      <c r="B116" s="241"/>
      <c r="C116" s="241"/>
      <c r="D116" s="241"/>
      <c r="E116" s="241"/>
      <c r="F116" s="241"/>
      <c r="G116" s="241"/>
      <c r="H116" s="12"/>
      <c r="I116" s="12"/>
      <c r="J116" s="12"/>
      <c r="K116" s="12"/>
      <c r="L116" s="12"/>
      <c r="M116" s="12"/>
      <c r="N116" s="12"/>
      <c r="O116" s="12"/>
      <c r="P116" s="12"/>
      <c r="Q116" s="12"/>
    </row>
    <row r="117" spans="1:17" s="11" customFormat="1" ht="15" customHeight="1" x14ac:dyDescent="0.2">
      <c r="A117" s="241"/>
      <c r="B117" s="2563" t="s">
        <v>2064</v>
      </c>
      <c r="C117" s="2563"/>
      <c r="D117" s="2563"/>
      <c r="E117" s="2563"/>
      <c r="F117" s="2563"/>
      <c r="G117" s="2563"/>
      <c r="H117" s="2563"/>
      <c r="I117" s="2563"/>
      <c r="J117" s="12"/>
      <c r="K117" s="12"/>
      <c r="L117" s="12"/>
      <c r="M117" s="12"/>
      <c r="N117" s="12"/>
      <c r="O117" s="12"/>
      <c r="P117" s="12"/>
      <c r="Q117" s="12"/>
    </row>
    <row r="118" spans="1:17" s="11" customFormat="1" ht="15" customHeight="1" x14ac:dyDescent="0.2">
      <c r="A118" s="241"/>
      <c r="B118" s="2564" t="s">
        <v>2065</v>
      </c>
      <c r="C118" s="2564"/>
      <c r="D118" s="2564"/>
      <c r="E118" s="2564"/>
      <c r="F118" s="2564"/>
      <c r="G118" s="2564"/>
      <c r="H118" s="2564"/>
      <c r="I118" s="2564"/>
      <c r="J118" s="12"/>
      <c r="K118" s="12"/>
      <c r="L118" s="12"/>
      <c r="M118" s="12"/>
      <c r="N118" s="12"/>
      <c r="O118" s="12"/>
      <c r="P118" s="12"/>
      <c r="Q118" s="12"/>
    </row>
    <row r="119" spans="1:17" s="11" customFormat="1" ht="19.5" customHeight="1" x14ac:dyDescent="0.2">
      <c r="A119" s="241"/>
      <c r="B119" s="2565" t="s">
        <v>2066</v>
      </c>
      <c r="C119" s="2566"/>
      <c r="D119" s="2567" t="s">
        <v>2067</v>
      </c>
      <c r="E119" s="2567"/>
      <c r="F119" s="2567"/>
      <c r="G119" s="2567"/>
      <c r="H119" s="2568" t="s">
        <v>2068</v>
      </c>
      <c r="I119" s="2568"/>
      <c r="J119" s="12"/>
      <c r="K119" s="12"/>
      <c r="L119" s="12"/>
      <c r="M119" s="12"/>
      <c r="N119" s="12"/>
      <c r="O119" s="12"/>
      <c r="P119" s="12"/>
      <c r="Q119" s="12"/>
    </row>
    <row r="120" spans="1:17" s="11" customFormat="1" ht="15" customHeight="1" x14ac:dyDescent="0.2">
      <c r="A120" s="241"/>
      <c r="B120" s="2555" t="s">
        <v>2069</v>
      </c>
      <c r="C120" s="2556"/>
      <c r="D120" s="2559" t="s">
        <v>2070</v>
      </c>
      <c r="E120" s="2559"/>
      <c r="F120" s="2559"/>
      <c r="G120" s="2559"/>
      <c r="H120" s="2560">
        <v>6</v>
      </c>
      <c r="I120" s="2560"/>
      <c r="J120" s="12"/>
      <c r="K120" s="12"/>
      <c r="L120" s="12"/>
      <c r="M120" s="12"/>
      <c r="N120" s="12"/>
      <c r="O120" s="12"/>
      <c r="P120" s="12"/>
      <c r="Q120" s="12"/>
    </row>
    <row r="121" spans="1:17" s="11" customFormat="1" ht="15" customHeight="1" x14ac:dyDescent="0.2">
      <c r="A121" s="241"/>
      <c r="B121" s="2557"/>
      <c r="C121" s="2558"/>
      <c r="D121" s="2559" t="s">
        <v>2071</v>
      </c>
      <c r="E121" s="2559"/>
      <c r="F121" s="2559"/>
      <c r="G121" s="2559"/>
      <c r="H121" s="2560">
        <v>12</v>
      </c>
      <c r="I121" s="2560"/>
      <c r="J121" s="12"/>
      <c r="K121" s="12"/>
      <c r="L121" s="12"/>
      <c r="M121" s="12"/>
      <c r="N121" s="12"/>
      <c r="O121" s="12"/>
      <c r="P121" s="12"/>
      <c r="Q121" s="12"/>
    </row>
    <row r="122" spans="1:17" s="11" customFormat="1" ht="15" customHeight="1" x14ac:dyDescent="0.2">
      <c r="A122" s="241"/>
      <c r="B122" s="2557"/>
      <c r="C122" s="2558"/>
      <c r="D122" s="2559" t="s">
        <v>2072</v>
      </c>
      <c r="E122" s="2559"/>
      <c r="F122" s="2559"/>
      <c r="G122" s="2559"/>
      <c r="H122" s="2560">
        <v>10</v>
      </c>
      <c r="I122" s="2560"/>
      <c r="J122" s="12"/>
      <c r="K122" s="12"/>
      <c r="L122" s="12"/>
      <c r="M122" s="12"/>
      <c r="N122" s="12"/>
      <c r="O122" s="12"/>
      <c r="P122" s="12"/>
      <c r="Q122" s="12"/>
    </row>
    <row r="123" spans="1:17" s="11" customFormat="1" ht="15" customHeight="1" x14ac:dyDescent="0.2">
      <c r="A123" s="241"/>
      <c r="B123" s="2557"/>
      <c r="C123" s="2558"/>
      <c r="D123" s="2559" t="s">
        <v>2073</v>
      </c>
      <c r="E123" s="2559"/>
      <c r="F123" s="2559"/>
      <c r="G123" s="2559"/>
      <c r="H123" s="2560">
        <v>13</v>
      </c>
      <c r="I123" s="2560"/>
      <c r="J123" s="12"/>
      <c r="K123" s="12"/>
      <c r="L123" s="12"/>
      <c r="M123" s="12"/>
      <c r="N123" s="12"/>
      <c r="O123" s="12"/>
      <c r="P123" s="12"/>
      <c r="Q123" s="12"/>
    </row>
    <row r="124" spans="1:17" s="11" customFormat="1" ht="15" customHeight="1" x14ac:dyDescent="0.2">
      <c r="A124" s="241"/>
      <c r="B124" s="2557"/>
      <c r="C124" s="2558"/>
      <c r="D124" s="2559" t="s">
        <v>2074</v>
      </c>
      <c r="E124" s="2559"/>
      <c r="F124" s="2559"/>
      <c r="G124" s="2559"/>
      <c r="H124" s="2560">
        <v>8</v>
      </c>
      <c r="I124" s="2560"/>
      <c r="J124" s="12"/>
      <c r="K124" s="12"/>
      <c r="L124" s="12"/>
      <c r="M124" s="12"/>
      <c r="N124" s="12"/>
      <c r="O124" s="12"/>
      <c r="P124" s="12"/>
      <c r="Q124" s="12"/>
    </row>
    <row r="125" spans="1:17" s="11" customFormat="1" ht="15" customHeight="1" x14ac:dyDescent="0.2">
      <c r="A125" s="241"/>
      <c r="B125" s="2557"/>
      <c r="C125" s="2558"/>
      <c r="D125" s="2559" t="s">
        <v>2075</v>
      </c>
      <c r="E125" s="2559"/>
      <c r="F125" s="2559"/>
      <c r="G125" s="2559"/>
      <c r="H125" s="2560">
        <v>3</v>
      </c>
      <c r="I125" s="2560"/>
      <c r="J125" s="12"/>
      <c r="K125" s="12"/>
      <c r="L125" s="12"/>
      <c r="M125" s="12"/>
      <c r="N125" s="12"/>
      <c r="O125" s="12"/>
      <c r="P125" s="12"/>
      <c r="Q125" s="12"/>
    </row>
    <row r="126" spans="1:17" s="11" customFormat="1" ht="15" customHeight="1" x14ac:dyDescent="0.2">
      <c r="A126" s="241"/>
      <c r="B126" s="2557"/>
      <c r="C126" s="2558"/>
      <c r="D126" s="2559" t="s">
        <v>2076</v>
      </c>
      <c r="E126" s="2559"/>
      <c r="F126" s="2559"/>
      <c r="G126" s="2559"/>
      <c r="H126" s="2560">
        <v>14</v>
      </c>
      <c r="I126" s="2560"/>
      <c r="J126" s="12"/>
      <c r="K126" s="12"/>
      <c r="L126" s="12"/>
      <c r="M126" s="12"/>
      <c r="N126" s="12"/>
      <c r="O126" s="12"/>
      <c r="P126" s="12"/>
      <c r="Q126" s="12"/>
    </row>
    <row r="127" spans="1:17" s="11" customFormat="1" ht="15" customHeight="1" x14ac:dyDescent="0.2">
      <c r="A127" s="241"/>
      <c r="B127" s="2561"/>
      <c r="C127" s="2562"/>
      <c r="D127" s="2559" t="s">
        <v>2077</v>
      </c>
      <c r="E127" s="2559"/>
      <c r="F127" s="2559"/>
      <c r="G127" s="2559"/>
      <c r="H127" s="2560">
        <v>7</v>
      </c>
      <c r="I127" s="2560"/>
      <c r="J127" s="12"/>
      <c r="K127" s="12"/>
      <c r="L127" s="12"/>
      <c r="M127" s="12"/>
      <c r="N127" s="12"/>
      <c r="O127" s="12"/>
      <c r="P127" s="12"/>
      <c r="Q127" s="12"/>
    </row>
    <row r="128" spans="1:17" s="11" customFormat="1" ht="15" customHeight="1" x14ac:dyDescent="0.2">
      <c r="A128" s="241"/>
      <c r="B128" s="2555" t="s">
        <v>2078</v>
      </c>
      <c r="C128" s="2556"/>
      <c r="D128" s="2559" t="s">
        <v>2079</v>
      </c>
      <c r="E128" s="2559"/>
      <c r="F128" s="2559"/>
      <c r="G128" s="2559"/>
      <c r="H128" s="2560">
        <v>9</v>
      </c>
      <c r="I128" s="2560"/>
      <c r="J128" s="12"/>
      <c r="K128" s="12"/>
      <c r="L128" s="12"/>
      <c r="M128" s="12"/>
      <c r="N128" s="12"/>
      <c r="O128" s="12"/>
      <c r="P128" s="12"/>
      <c r="Q128" s="12"/>
    </row>
    <row r="129" spans="1:17" s="11" customFormat="1" ht="15" customHeight="1" x14ac:dyDescent="0.2">
      <c r="A129" s="241"/>
      <c r="B129" s="2555" t="s">
        <v>2080</v>
      </c>
      <c r="C129" s="2556"/>
      <c r="D129" s="2559" t="s">
        <v>2081</v>
      </c>
      <c r="E129" s="2559"/>
      <c r="F129" s="2559"/>
      <c r="G129" s="2559"/>
      <c r="H129" s="2560">
        <v>9</v>
      </c>
      <c r="I129" s="2560"/>
      <c r="J129" s="12"/>
      <c r="K129" s="12"/>
      <c r="L129" s="12"/>
      <c r="M129" s="12"/>
      <c r="N129" s="12"/>
      <c r="O129" s="12"/>
      <c r="P129" s="12"/>
      <c r="Q129" s="12"/>
    </row>
    <row r="130" spans="1:17" s="11" customFormat="1" ht="15" customHeight="1" x14ac:dyDescent="0.2">
      <c r="A130" s="241"/>
      <c r="B130" s="2557"/>
      <c r="C130" s="2558"/>
      <c r="D130" s="2559" t="s">
        <v>2082</v>
      </c>
      <c r="E130" s="2559"/>
      <c r="F130" s="2559"/>
      <c r="G130" s="2559"/>
      <c r="H130" s="2560">
        <v>13</v>
      </c>
      <c r="I130" s="2560"/>
      <c r="J130" s="12"/>
      <c r="K130" s="12"/>
      <c r="L130" s="12"/>
      <c r="M130" s="12"/>
      <c r="N130" s="12"/>
      <c r="O130" s="12"/>
      <c r="P130" s="12"/>
      <c r="Q130" s="12"/>
    </row>
    <row r="131" spans="1:17" s="11" customFormat="1" ht="15" customHeight="1" x14ac:dyDescent="0.2">
      <c r="A131" s="241"/>
      <c r="B131" s="2561"/>
      <c r="C131" s="2562"/>
      <c r="D131" s="2559" t="s">
        <v>2083</v>
      </c>
      <c r="E131" s="2559"/>
      <c r="F131" s="2559"/>
      <c r="G131" s="2559"/>
      <c r="H131" s="2560">
        <v>16</v>
      </c>
      <c r="I131" s="2560"/>
      <c r="J131" s="12"/>
      <c r="K131" s="12"/>
      <c r="L131" s="12"/>
      <c r="M131" s="12"/>
      <c r="N131" s="12"/>
      <c r="O131" s="12"/>
      <c r="P131" s="12"/>
      <c r="Q131" s="12"/>
    </row>
    <row r="132" spans="1:17" s="11" customFormat="1" ht="15" customHeight="1" x14ac:dyDescent="0.2">
      <c r="A132" s="241"/>
      <c r="B132" s="2555" t="s">
        <v>2084</v>
      </c>
      <c r="C132" s="2556"/>
      <c r="D132" s="2559" t="s">
        <v>2085</v>
      </c>
      <c r="E132" s="2559"/>
      <c r="F132" s="2559"/>
      <c r="G132" s="2559"/>
      <c r="H132" s="2560">
        <v>14</v>
      </c>
      <c r="I132" s="2560"/>
      <c r="J132" s="12"/>
      <c r="K132" s="12"/>
      <c r="L132" s="12"/>
      <c r="M132" s="12"/>
      <c r="N132" s="12"/>
      <c r="O132" s="12"/>
      <c r="P132" s="12"/>
      <c r="Q132" s="12"/>
    </row>
    <row r="133" spans="1:17" s="11" customFormat="1" ht="15" customHeight="1" x14ac:dyDescent="0.2">
      <c r="A133" s="241"/>
      <c r="B133" s="2557"/>
      <c r="C133" s="2558"/>
      <c r="D133" s="2559" t="s">
        <v>2086</v>
      </c>
      <c r="E133" s="2559"/>
      <c r="F133" s="2559"/>
      <c r="G133" s="2559"/>
      <c r="H133" s="2560">
        <v>13</v>
      </c>
      <c r="I133" s="2560"/>
      <c r="J133" s="12"/>
      <c r="K133" s="12"/>
      <c r="L133" s="12"/>
      <c r="M133" s="12"/>
      <c r="N133" s="12"/>
      <c r="O133" s="12"/>
      <c r="P133" s="12"/>
      <c r="Q133" s="12"/>
    </row>
    <row r="134" spans="1:17" s="11" customFormat="1" ht="15" customHeight="1" x14ac:dyDescent="0.2">
      <c r="A134" s="241"/>
      <c r="B134" s="2557"/>
      <c r="C134" s="2558"/>
      <c r="D134" s="2559" t="s">
        <v>2087</v>
      </c>
      <c r="E134" s="2559"/>
      <c r="F134" s="2559"/>
      <c r="G134" s="2559"/>
      <c r="H134" s="2560">
        <v>16</v>
      </c>
      <c r="I134" s="2560"/>
      <c r="J134" s="12"/>
      <c r="K134" s="12"/>
      <c r="L134" s="12"/>
      <c r="M134" s="12"/>
      <c r="N134" s="12"/>
      <c r="O134" s="12"/>
      <c r="P134" s="12"/>
      <c r="Q134" s="12"/>
    </row>
    <row r="135" spans="1:17" s="11" customFormat="1" ht="15" customHeight="1" x14ac:dyDescent="0.2">
      <c r="A135" s="241"/>
      <c r="B135" s="2557"/>
      <c r="C135" s="2558"/>
      <c r="D135" s="2559" t="s">
        <v>2088</v>
      </c>
      <c r="E135" s="2559"/>
      <c r="F135" s="2559"/>
      <c r="G135" s="2559"/>
      <c r="H135" s="2560">
        <v>8</v>
      </c>
      <c r="I135" s="2560"/>
      <c r="J135" s="12"/>
      <c r="K135" s="12"/>
      <c r="L135" s="12"/>
      <c r="M135" s="12"/>
      <c r="N135" s="12"/>
      <c r="O135" s="12"/>
      <c r="P135" s="12"/>
      <c r="Q135" s="12"/>
    </row>
    <row r="136" spans="1:17" s="11" customFormat="1" ht="15" customHeight="1" x14ac:dyDescent="0.2">
      <c r="A136" s="241"/>
      <c r="B136" s="2557"/>
      <c r="C136" s="2558"/>
      <c r="D136" s="2559" t="s">
        <v>2089</v>
      </c>
      <c r="E136" s="2559"/>
      <c r="F136" s="2559"/>
      <c r="G136" s="2559"/>
      <c r="H136" s="2560">
        <v>16</v>
      </c>
      <c r="I136" s="2560"/>
      <c r="J136" s="12"/>
      <c r="K136" s="12"/>
      <c r="L136" s="12"/>
      <c r="M136" s="12"/>
      <c r="N136" s="12"/>
      <c r="O136" s="12"/>
      <c r="P136" s="12"/>
      <c r="Q136" s="12"/>
    </row>
    <row r="137" spans="1:17" s="11" customFormat="1" ht="15" customHeight="1" x14ac:dyDescent="0.2">
      <c r="A137" s="241"/>
      <c r="B137" s="2557"/>
      <c r="C137" s="2558"/>
      <c r="D137" s="2559" t="s">
        <v>2090</v>
      </c>
      <c r="E137" s="2559"/>
      <c r="F137" s="2559"/>
      <c r="G137" s="2559"/>
      <c r="H137" s="2560">
        <v>12</v>
      </c>
      <c r="I137" s="2560"/>
      <c r="J137" s="12"/>
      <c r="K137" s="12"/>
      <c r="L137" s="12"/>
      <c r="M137" s="12"/>
      <c r="N137" s="12"/>
      <c r="O137" s="12"/>
      <c r="P137" s="12"/>
      <c r="Q137" s="12"/>
    </row>
    <row r="138" spans="1:17" s="11" customFormat="1" ht="15" customHeight="1" x14ac:dyDescent="0.2">
      <c r="A138" s="241"/>
      <c r="B138" s="2561"/>
      <c r="C138" s="2562"/>
      <c r="D138" s="2559" t="s">
        <v>2091</v>
      </c>
      <c r="E138" s="2559"/>
      <c r="F138" s="2559"/>
      <c r="G138" s="2559"/>
      <c r="H138" s="2560">
        <v>10</v>
      </c>
      <c r="I138" s="2560"/>
      <c r="J138" s="12"/>
      <c r="K138" s="12"/>
      <c r="L138" s="12"/>
      <c r="M138" s="12"/>
      <c r="N138" s="12"/>
      <c r="O138" s="12"/>
      <c r="P138" s="12"/>
      <c r="Q138" s="12"/>
    </row>
    <row r="139" spans="1:17" s="11" customFormat="1" ht="15" customHeight="1" x14ac:dyDescent="0.2">
      <c r="A139" s="241"/>
      <c r="B139" s="2555" t="s">
        <v>2092</v>
      </c>
      <c r="C139" s="2556"/>
      <c r="D139" s="2559" t="s">
        <v>2093</v>
      </c>
      <c r="E139" s="2559"/>
      <c r="F139" s="2559"/>
      <c r="G139" s="2559"/>
      <c r="H139" s="2560">
        <v>12</v>
      </c>
      <c r="I139" s="2560"/>
      <c r="J139" s="12"/>
      <c r="K139" s="12"/>
      <c r="L139" s="12"/>
      <c r="M139" s="12"/>
      <c r="N139" s="12"/>
      <c r="O139" s="12"/>
      <c r="P139" s="12"/>
      <c r="Q139" s="12"/>
    </row>
    <row r="140" spans="1:17" s="11" customFormat="1" ht="15" customHeight="1" x14ac:dyDescent="0.2">
      <c r="A140" s="241"/>
      <c r="B140" s="2557"/>
      <c r="C140" s="2558"/>
      <c r="D140" s="2559" t="s">
        <v>2094</v>
      </c>
      <c r="E140" s="2559"/>
      <c r="F140" s="2559"/>
      <c r="G140" s="2559"/>
      <c r="H140" s="2560">
        <v>12</v>
      </c>
      <c r="I140" s="2560"/>
      <c r="J140" s="12"/>
      <c r="K140" s="12"/>
      <c r="L140" s="12"/>
      <c r="M140" s="12"/>
      <c r="N140" s="12"/>
      <c r="O140" s="12"/>
      <c r="P140" s="12"/>
      <c r="Q140" s="12"/>
    </row>
    <row r="141" spans="1:17" s="11" customFormat="1" ht="15" customHeight="1" x14ac:dyDescent="0.2">
      <c r="A141" s="241"/>
      <c r="B141" s="2557"/>
      <c r="C141" s="2558"/>
      <c r="D141" s="2559" t="s">
        <v>2095</v>
      </c>
      <c r="E141" s="2559"/>
      <c r="F141" s="2559"/>
      <c r="G141" s="2559"/>
      <c r="H141" s="2560">
        <v>8</v>
      </c>
      <c r="I141" s="2560"/>
      <c r="J141" s="12"/>
      <c r="K141" s="12"/>
      <c r="L141" s="12"/>
      <c r="M141" s="12"/>
      <c r="N141" s="12"/>
      <c r="O141" s="12"/>
      <c r="P141" s="12"/>
      <c r="Q141" s="12"/>
    </row>
    <row r="142" spans="1:17" s="11" customFormat="1" ht="15" customHeight="1" x14ac:dyDescent="0.2">
      <c r="A142" s="241"/>
      <c r="B142" s="2557"/>
      <c r="C142" s="2558"/>
      <c r="D142" s="2559" t="s">
        <v>2096</v>
      </c>
      <c r="E142" s="2559"/>
      <c r="F142" s="2559"/>
      <c r="G142" s="2559"/>
      <c r="H142" s="2560">
        <v>9</v>
      </c>
      <c r="I142" s="2560"/>
      <c r="J142" s="12"/>
      <c r="K142" s="12"/>
      <c r="L142" s="12"/>
      <c r="M142" s="12"/>
      <c r="N142" s="12"/>
      <c r="O142" s="12"/>
      <c r="P142" s="12"/>
      <c r="Q142" s="12"/>
    </row>
    <row r="143" spans="1:17" s="11" customFormat="1" ht="15" customHeight="1" x14ac:dyDescent="0.2">
      <c r="A143" s="241"/>
      <c r="B143" s="2557"/>
      <c r="C143" s="2558"/>
      <c r="D143" s="2559" t="s">
        <v>2097</v>
      </c>
      <c r="E143" s="2559"/>
      <c r="F143" s="2559"/>
      <c r="G143" s="2559"/>
      <c r="H143" s="2560">
        <v>15</v>
      </c>
      <c r="I143" s="2560"/>
      <c r="J143" s="12"/>
      <c r="K143" s="12"/>
      <c r="L143" s="12"/>
      <c r="M143" s="12"/>
      <c r="N143" s="12"/>
      <c r="O143" s="12"/>
      <c r="P143" s="12"/>
      <c r="Q143" s="12"/>
    </row>
    <row r="144" spans="1:17" s="11" customFormat="1" ht="15" customHeight="1" x14ac:dyDescent="0.2">
      <c r="A144" s="241"/>
      <c r="B144" s="2557"/>
      <c r="C144" s="2558"/>
      <c r="D144" s="2559" t="s">
        <v>2098</v>
      </c>
      <c r="E144" s="2559"/>
      <c r="F144" s="2559"/>
      <c r="G144" s="2559"/>
      <c r="H144" s="2560">
        <v>20</v>
      </c>
      <c r="I144" s="2560"/>
      <c r="J144" s="12"/>
      <c r="K144" s="12"/>
      <c r="L144" s="12"/>
      <c r="M144" s="12"/>
      <c r="N144" s="12"/>
      <c r="O144" s="12"/>
      <c r="P144" s="12"/>
      <c r="Q144" s="12"/>
    </row>
    <row r="145" spans="1:17" s="11" customFormat="1" ht="15" customHeight="1" x14ac:dyDescent="0.2">
      <c r="A145" s="241"/>
      <c r="B145" s="2557"/>
      <c r="C145" s="2558"/>
      <c r="D145" s="2559" t="s">
        <v>2099</v>
      </c>
      <c r="E145" s="2559"/>
      <c r="F145" s="2559"/>
      <c r="G145" s="2559"/>
      <c r="H145" s="2560">
        <v>12</v>
      </c>
      <c r="I145" s="2560"/>
      <c r="J145" s="12"/>
      <c r="K145" s="12"/>
      <c r="L145" s="12"/>
      <c r="M145" s="12"/>
      <c r="N145" s="12"/>
      <c r="O145" s="12"/>
      <c r="P145" s="12"/>
      <c r="Q145" s="12"/>
    </row>
    <row r="146" spans="1:17" s="11" customFormat="1" ht="15" customHeight="1" x14ac:dyDescent="0.2">
      <c r="A146" s="241"/>
      <c r="B146" s="2557"/>
      <c r="C146" s="2558"/>
      <c r="D146" s="2559" t="s">
        <v>2100</v>
      </c>
      <c r="E146" s="2559"/>
      <c r="F146" s="2559"/>
      <c r="G146" s="2559"/>
      <c r="H146" s="2560">
        <v>14</v>
      </c>
      <c r="I146" s="2560"/>
      <c r="J146" s="12"/>
      <c r="K146" s="12"/>
      <c r="L146" s="12"/>
      <c r="M146" s="12"/>
      <c r="N146" s="12"/>
      <c r="O146" s="12"/>
      <c r="P146" s="12"/>
      <c r="Q146" s="12"/>
    </row>
    <row r="147" spans="1:17" s="11" customFormat="1" ht="15" customHeight="1" x14ac:dyDescent="0.2">
      <c r="A147" s="241"/>
      <c r="B147" s="2561"/>
      <c r="C147" s="2562"/>
      <c r="D147" s="2559" t="s">
        <v>2101</v>
      </c>
      <c r="E147" s="2559"/>
      <c r="F147" s="2559"/>
      <c r="G147" s="2559"/>
      <c r="H147" s="2560">
        <v>17</v>
      </c>
      <c r="I147" s="2560"/>
      <c r="J147" s="12"/>
      <c r="K147" s="12"/>
      <c r="L147" s="12"/>
      <c r="M147" s="12"/>
      <c r="N147" s="12"/>
      <c r="O147" s="12"/>
      <c r="P147" s="12"/>
      <c r="Q147" s="12"/>
    </row>
    <row r="148" spans="1:17" s="11" customFormat="1" ht="15" customHeight="1" x14ac:dyDescent="0.2">
      <c r="A148" s="241"/>
      <c r="B148" s="2555" t="s">
        <v>2102</v>
      </c>
      <c r="C148" s="2556"/>
      <c r="D148" s="2559" t="s">
        <v>2103</v>
      </c>
      <c r="E148" s="2559"/>
      <c r="F148" s="2559"/>
      <c r="G148" s="2559"/>
      <c r="H148" s="2560">
        <v>12</v>
      </c>
      <c r="I148" s="2560"/>
      <c r="J148" s="12"/>
      <c r="K148" s="12"/>
      <c r="L148" s="12"/>
      <c r="M148" s="12"/>
      <c r="N148" s="12"/>
      <c r="O148" s="12"/>
      <c r="P148" s="12"/>
      <c r="Q148" s="12"/>
    </row>
    <row r="149" spans="1:17" s="11" customFormat="1" ht="15" customHeight="1" x14ac:dyDescent="0.2">
      <c r="A149" s="241"/>
      <c r="B149" s="2557"/>
      <c r="C149" s="2558"/>
      <c r="D149" s="2559" t="s">
        <v>2104</v>
      </c>
      <c r="E149" s="2559"/>
      <c r="F149" s="2559"/>
      <c r="G149" s="2559"/>
      <c r="H149" s="2560">
        <v>12</v>
      </c>
      <c r="I149" s="2560"/>
      <c r="J149" s="12"/>
      <c r="K149" s="12"/>
      <c r="L149" s="12"/>
      <c r="M149" s="12"/>
      <c r="N149" s="12"/>
      <c r="O149" s="12"/>
      <c r="P149" s="12"/>
      <c r="Q149" s="12"/>
    </row>
    <row r="150" spans="1:17" s="11" customFormat="1" ht="15" customHeight="1" x14ac:dyDescent="0.2">
      <c r="A150" s="241"/>
      <c r="B150" s="2557"/>
      <c r="C150" s="2558"/>
      <c r="D150" s="2559" t="s">
        <v>2105</v>
      </c>
      <c r="E150" s="2559"/>
      <c r="F150" s="2559"/>
      <c r="G150" s="2559"/>
      <c r="H150" s="2560">
        <v>13</v>
      </c>
      <c r="I150" s="2560"/>
      <c r="J150" s="12"/>
      <c r="K150" s="12"/>
      <c r="L150" s="12"/>
      <c r="M150" s="12"/>
      <c r="N150" s="12"/>
      <c r="O150" s="12"/>
      <c r="P150" s="12"/>
      <c r="Q150" s="12"/>
    </row>
    <row r="151" spans="1:17" s="11" customFormat="1" ht="15" customHeight="1" x14ac:dyDescent="0.2">
      <c r="A151" s="241"/>
      <c r="B151" s="2561"/>
      <c r="C151" s="2562"/>
      <c r="D151" s="2559" t="s">
        <v>2106</v>
      </c>
      <c r="E151" s="2559"/>
      <c r="F151" s="2559"/>
      <c r="G151" s="2559"/>
      <c r="H151" s="2560">
        <v>12</v>
      </c>
      <c r="I151" s="2560"/>
      <c r="J151" s="12"/>
      <c r="K151" s="12"/>
      <c r="L151" s="12"/>
      <c r="M151" s="12"/>
      <c r="N151" s="12"/>
      <c r="O151" s="12"/>
      <c r="P151" s="12"/>
      <c r="Q151" s="12"/>
    </row>
    <row r="152" spans="1:17" s="11" customFormat="1" ht="15" customHeight="1" x14ac:dyDescent="0.2">
      <c r="A152" s="241"/>
      <c r="B152" s="2555" t="s">
        <v>2107</v>
      </c>
      <c r="C152" s="2556"/>
      <c r="D152" s="2559" t="s">
        <v>2108</v>
      </c>
      <c r="E152" s="2559"/>
      <c r="F152" s="2559"/>
      <c r="G152" s="2559"/>
      <c r="H152" s="2560">
        <v>13</v>
      </c>
      <c r="I152" s="2560"/>
      <c r="J152" s="12"/>
      <c r="K152" s="12"/>
      <c r="L152" s="12"/>
      <c r="M152" s="12"/>
      <c r="N152" s="12"/>
      <c r="O152" s="12"/>
      <c r="P152" s="12"/>
      <c r="Q152" s="12"/>
    </row>
    <row r="153" spans="1:17" s="11" customFormat="1" ht="15" customHeight="1" x14ac:dyDescent="0.2">
      <c r="A153" s="241"/>
      <c r="B153" s="2555" t="s">
        <v>2109</v>
      </c>
      <c r="C153" s="2556"/>
      <c r="D153" s="2559" t="s">
        <v>2110</v>
      </c>
      <c r="E153" s="2559"/>
      <c r="F153" s="2559"/>
      <c r="G153" s="2559"/>
      <c r="H153" s="2560">
        <v>15</v>
      </c>
      <c r="I153" s="2560"/>
      <c r="J153" s="12"/>
      <c r="K153" s="12"/>
      <c r="L153" s="12"/>
      <c r="M153" s="12"/>
      <c r="N153" s="12"/>
      <c r="O153" s="12"/>
      <c r="P153" s="12"/>
      <c r="Q153" s="12"/>
    </row>
    <row r="154" spans="1:17" s="11" customFormat="1" ht="15" customHeight="1" x14ac:dyDescent="0.2">
      <c r="A154" s="241"/>
      <c r="B154" s="2557"/>
      <c r="C154" s="2558"/>
      <c r="D154" s="2559" t="s">
        <v>2111</v>
      </c>
      <c r="E154" s="2559"/>
      <c r="F154" s="2559"/>
      <c r="G154" s="2559"/>
      <c r="H154" s="2560">
        <v>14</v>
      </c>
      <c r="I154" s="2560"/>
      <c r="J154" s="12"/>
      <c r="K154" s="12"/>
      <c r="L154" s="12"/>
      <c r="M154" s="12"/>
      <c r="N154" s="12"/>
      <c r="O154" s="12"/>
      <c r="P154" s="12"/>
      <c r="Q154" s="12"/>
    </row>
    <row r="155" spans="1:17" s="11" customFormat="1" ht="15" customHeight="1" x14ac:dyDescent="0.2">
      <c r="A155" s="241"/>
      <c r="B155" s="2561"/>
      <c r="C155" s="2562"/>
      <c r="D155" s="2559" t="s">
        <v>2112</v>
      </c>
      <c r="E155" s="2559"/>
      <c r="F155" s="2559"/>
      <c r="G155" s="2559"/>
      <c r="H155" s="2560">
        <v>12</v>
      </c>
      <c r="I155" s="2560"/>
      <c r="J155" s="12"/>
      <c r="K155" s="12"/>
      <c r="L155" s="12"/>
      <c r="M155" s="12"/>
      <c r="N155" s="12"/>
      <c r="O155" s="12"/>
      <c r="P155" s="12"/>
      <c r="Q155" s="12"/>
    </row>
    <row r="156" spans="1:17" s="11" customFormat="1" ht="15" customHeight="1" x14ac:dyDescent="0.2">
      <c r="A156" s="241"/>
      <c r="B156" s="2555" t="s">
        <v>2113</v>
      </c>
      <c r="C156" s="2556"/>
      <c r="D156" s="2559" t="s">
        <v>2114</v>
      </c>
      <c r="E156" s="2559"/>
      <c r="F156" s="2559"/>
      <c r="G156" s="2559"/>
      <c r="H156" s="2560">
        <v>15</v>
      </c>
      <c r="I156" s="2560"/>
      <c r="J156" s="12"/>
      <c r="K156" s="12"/>
      <c r="L156" s="12"/>
      <c r="M156" s="12"/>
      <c r="N156" s="12"/>
      <c r="O156" s="12"/>
      <c r="P156" s="12"/>
      <c r="Q156" s="12"/>
    </row>
    <row r="157" spans="1:17" s="11" customFormat="1" ht="15" customHeight="1" x14ac:dyDescent="0.2">
      <c r="A157" s="241"/>
      <c r="B157" s="2557"/>
      <c r="C157" s="2558"/>
      <c r="D157" s="2559" t="s">
        <v>2115</v>
      </c>
      <c r="E157" s="2559"/>
      <c r="F157" s="2559"/>
      <c r="G157" s="2559"/>
      <c r="H157" s="2560">
        <v>15</v>
      </c>
      <c r="I157" s="2560"/>
      <c r="J157" s="12"/>
      <c r="K157" s="12"/>
      <c r="L157" s="12"/>
      <c r="M157" s="12"/>
      <c r="N157" s="12"/>
      <c r="O157" s="12"/>
      <c r="P157" s="12"/>
      <c r="Q157" s="12"/>
    </row>
    <row r="158" spans="1:17" s="11" customFormat="1" ht="15" customHeight="1" x14ac:dyDescent="0.2">
      <c r="A158" s="241"/>
      <c r="B158" s="2557"/>
      <c r="C158" s="2558"/>
      <c r="D158" s="2559" t="s">
        <v>2116</v>
      </c>
      <c r="E158" s="2559"/>
      <c r="F158" s="2559"/>
      <c r="G158" s="2559"/>
      <c r="H158" s="2560">
        <v>14</v>
      </c>
      <c r="I158" s="2560"/>
      <c r="J158" s="12"/>
      <c r="K158" s="12"/>
      <c r="L158" s="12"/>
      <c r="M158" s="12"/>
      <c r="N158" s="12"/>
      <c r="O158" s="12"/>
      <c r="P158" s="12"/>
      <c r="Q158" s="12"/>
    </row>
    <row r="159" spans="1:17" s="11" customFormat="1" ht="15" customHeight="1" x14ac:dyDescent="0.2">
      <c r="A159" s="241"/>
      <c r="B159" s="2557"/>
      <c r="C159" s="2558"/>
      <c r="D159" s="2559" t="s">
        <v>2117</v>
      </c>
      <c r="E159" s="2559"/>
      <c r="F159" s="2559"/>
      <c r="G159" s="2559"/>
      <c r="H159" s="2560">
        <v>17</v>
      </c>
      <c r="I159" s="2560"/>
      <c r="J159" s="12"/>
      <c r="K159" s="12"/>
      <c r="L159" s="12"/>
      <c r="M159" s="12"/>
      <c r="N159" s="12"/>
      <c r="O159" s="12"/>
      <c r="P159" s="12"/>
      <c r="Q159" s="12"/>
    </row>
    <row r="160" spans="1:17" s="11" customFormat="1" ht="15" customHeight="1" x14ac:dyDescent="0.2">
      <c r="A160" s="241"/>
      <c r="B160" s="2561"/>
      <c r="C160" s="2562"/>
      <c r="D160" s="2559" t="s">
        <v>2118</v>
      </c>
      <c r="E160" s="2559"/>
      <c r="F160" s="2559"/>
      <c r="G160" s="2559"/>
      <c r="H160" s="2560">
        <v>8</v>
      </c>
      <c r="I160" s="2560"/>
      <c r="J160" s="12"/>
      <c r="K160" s="12"/>
      <c r="L160" s="12"/>
      <c r="M160" s="12"/>
      <c r="N160" s="12"/>
      <c r="O160" s="12"/>
      <c r="P160" s="12"/>
      <c r="Q160" s="12"/>
    </row>
    <row r="161" spans="1:17" s="11" customFormat="1" ht="15" customHeight="1" x14ac:dyDescent="0.2">
      <c r="A161" s="241"/>
      <c r="B161" s="2555" t="s">
        <v>2119</v>
      </c>
      <c r="C161" s="2556"/>
      <c r="D161" s="2559" t="s">
        <v>2119</v>
      </c>
      <c r="E161" s="2559"/>
      <c r="F161" s="2559"/>
      <c r="G161" s="2559"/>
      <c r="H161" s="2560">
        <v>14</v>
      </c>
      <c r="I161" s="2560"/>
      <c r="J161" s="12"/>
      <c r="K161" s="12"/>
      <c r="L161" s="12"/>
      <c r="M161" s="12"/>
      <c r="N161" s="12"/>
      <c r="O161" s="12"/>
      <c r="P161" s="12"/>
      <c r="Q161" s="12"/>
    </row>
    <row r="162" spans="1:17" s="11" customFormat="1" ht="15" customHeight="1" x14ac:dyDescent="0.2">
      <c r="A162" s="241"/>
      <c r="B162" s="2555" t="s">
        <v>2120</v>
      </c>
      <c r="C162" s="2556"/>
      <c r="D162" s="2559" t="s">
        <v>2120</v>
      </c>
      <c r="E162" s="2559"/>
      <c r="F162" s="2559"/>
      <c r="G162" s="2559"/>
      <c r="H162" s="2560">
        <v>12</v>
      </c>
      <c r="I162" s="2560"/>
      <c r="J162" s="12"/>
      <c r="K162" s="12"/>
      <c r="L162" s="12"/>
      <c r="M162" s="12"/>
      <c r="N162" s="12"/>
      <c r="O162" s="12"/>
      <c r="P162" s="12"/>
      <c r="Q162" s="12"/>
    </row>
    <row r="163" spans="1:17" s="11" customFormat="1" ht="15" customHeight="1" x14ac:dyDescent="0.2">
      <c r="A163" s="241"/>
      <c r="B163" s="2555" t="s">
        <v>2121</v>
      </c>
      <c r="C163" s="2556"/>
      <c r="D163" s="2559" t="s">
        <v>2122</v>
      </c>
      <c r="E163" s="2559"/>
      <c r="F163" s="2559"/>
      <c r="G163" s="2559"/>
      <c r="H163" s="2560">
        <v>13</v>
      </c>
      <c r="I163" s="2560"/>
      <c r="J163" s="12"/>
      <c r="K163" s="12"/>
      <c r="L163" s="12"/>
      <c r="M163" s="12"/>
      <c r="N163" s="12"/>
      <c r="O163" s="12"/>
      <c r="P163" s="12"/>
      <c r="Q163" s="12"/>
    </row>
    <row r="164" spans="1:17" s="11" customFormat="1" ht="15" customHeight="1" x14ac:dyDescent="0.2">
      <c r="A164" s="241"/>
      <c r="B164" s="2561"/>
      <c r="C164" s="2562"/>
      <c r="D164" s="2559" t="s">
        <v>2123</v>
      </c>
      <c r="E164" s="2559"/>
      <c r="F164" s="2559"/>
      <c r="G164" s="2559"/>
      <c r="H164" s="2560">
        <v>13</v>
      </c>
      <c r="I164" s="2560"/>
      <c r="J164" s="12"/>
      <c r="K164" s="12"/>
      <c r="L164" s="12"/>
      <c r="M164" s="12"/>
      <c r="N164" s="12"/>
      <c r="O164" s="12"/>
      <c r="P164" s="12"/>
      <c r="Q164" s="12"/>
    </row>
    <row r="165" spans="1:17" s="11" customFormat="1" ht="15" customHeight="1" x14ac:dyDescent="0.2">
      <c r="A165" s="241"/>
      <c r="B165" s="2555" t="s">
        <v>2124</v>
      </c>
      <c r="C165" s="2556"/>
      <c r="D165" s="2559" t="s">
        <v>2125</v>
      </c>
      <c r="E165" s="2559"/>
      <c r="F165" s="2559"/>
      <c r="G165" s="2559"/>
      <c r="H165" s="2560">
        <v>14</v>
      </c>
      <c r="I165" s="2560"/>
      <c r="J165" s="12"/>
      <c r="K165" s="12"/>
      <c r="L165" s="12"/>
      <c r="M165" s="12"/>
      <c r="N165" s="12"/>
      <c r="O165" s="12"/>
      <c r="P165" s="12"/>
      <c r="Q165" s="12"/>
    </row>
    <row r="166" spans="1:17" s="11" customFormat="1" ht="15" customHeight="1" x14ac:dyDescent="0.2">
      <c r="A166" s="241"/>
      <c r="B166" s="2555" t="s">
        <v>2126</v>
      </c>
      <c r="C166" s="2556"/>
      <c r="D166" s="2559" t="s">
        <v>2127</v>
      </c>
      <c r="E166" s="2559"/>
      <c r="F166" s="2559"/>
      <c r="G166" s="2559"/>
      <c r="H166" s="2560">
        <v>13</v>
      </c>
      <c r="I166" s="2560"/>
      <c r="J166" s="12"/>
      <c r="K166" s="12"/>
      <c r="L166" s="12"/>
      <c r="M166" s="12"/>
      <c r="N166" s="12"/>
      <c r="O166" s="12"/>
      <c r="P166" s="12"/>
      <c r="Q166" s="12"/>
    </row>
    <row r="167" spans="1:17" s="11" customFormat="1" ht="15" customHeight="1" x14ac:dyDescent="0.2">
      <c r="A167" s="241"/>
      <c r="B167" s="2557"/>
      <c r="C167" s="2558"/>
      <c r="D167" s="2559" t="s">
        <v>2128</v>
      </c>
      <c r="E167" s="2559"/>
      <c r="F167" s="2559"/>
      <c r="G167" s="2559"/>
      <c r="H167" s="2560">
        <v>15</v>
      </c>
      <c r="I167" s="2560"/>
      <c r="J167" s="12"/>
      <c r="K167" s="12"/>
      <c r="L167" s="12"/>
      <c r="M167" s="12"/>
      <c r="N167" s="12"/>
      <c r="O167" s="12"/>
      <c r="P167" s="12"/>
      <c r="Q167" s="12"/>
    </row>
    <row r="168" spans="1:17" s="11" customFormat="1" ht="15" customHeight="1" x14ac:dyDescent="0.2">
      <c r="A168" s="241"/>
      <c r="B168" s="2557"/>
      <c r="C168" s="2558"/>
      <c r="D168" s="2559" t="s">
        <v>2129</v>
      </c>
      <c r="E168" s="2559"/>
      <c r="F168" s="2559"/>
      <c r="G168" s="2559"/>
      <c r="H168" s="2560">
        <v>16</v>
      </c>
      <c r="I168" s="2560"/>
      <c r="J168" s="12"/>
      <c r="K168" s="12"/>
      <c r="L168" s="12"/>
      <c r="M168" s="12"/>
      <c r="N168" s="12"/>
      <c r="O168" s="12"/>
      <c r="P168" s="12"/>
      <c r="Q168" s="12"/>
    </row>
    <row r="169" spans="1:17" s="11" customFormat="1" ht="15" customHeight="1" x14ac:dyDescent="0.2">
      <c r="A169" s="241"/>
      <c r="B169" s="2557"/>
      <c r="C169" s="2558"/>
      <c r="D169" s="2559" t="s">
        <v>2130</v>
      </c>
      <c r="E169" s="2559"/>
      <c r="F169" s="2559"/>
      <c r="G169" s="2559"/>
      <c r="H169" s="2560">
        <v>11</v>
      </c>
      <c r="I169" s="2560"/>
      <c r="J169" s="12"/>
      <c r="K169" s="12"/>
      <c r="L169" s="12"/>
      <c r="M169" s="12"/>
      <c r="N169" s="12"/>
      <c r="O169" s="12"/>
      <c r="P169" s="12"/>
      <c r="Q169" s="12"/>
    </row>
    <row r="170" spans="1:17" s="11" customFormat="1" ht="15" customHeight="1" x14ac:dyDescent="0.2">
      <c r="A170" s="241"/>
      <c r="B170" s="2561"/>
      <c r="C170" s="2562"/>
      <c r="D170" s="2559" t="s">
        <v>2131</v>
      </c>
      <c r="E170" s="2559"/>
      <c r="F170" s="2559"/>
      <c r="G170" s="2559"/>
      <c r="H170" s="2560">
        <v>5</v>
      </c>
      <c r="I170" s="2560"/>
      <c r="J170" s="12"/>
      <c r="K170" s="12"/>
      <c r="L170" s="12"/>
      <c r="M170" s="12"/>
      <c r="N170" s="12"/>
      <c r="O170" s="12"/>
      <c r="P170" s="12"/>
      <c r="Q170" s="12"/>
    </row>
    <row r="171" spans="1:17" s="11" customFormat="1" ht="15" customHeight="1" x14ac:dyDescent="0.2">
      <c r="A171" s="241"/>
      <c r="B171" s="2555" t="s">
        <v>2132</v>
      </c>
      <c r="C171" s="2556"/>
      <c r="D171" s="2559" t="s">
        <v>2133</v>
      </c>
      <c r="E171" s="2559"/>
      <c r="F171" s="2559"/>
      <c r="G171" s="2559"/>
      <c r="H171" s="2560">
        <v>2</v>
      </c>
      <c r="I171" s="2560"/>
      <c r="J171" s="12"/>
      <c r="K171" s="12"/>
      <c r="L171" s="12"/>
      <c r="M171" s="12"/>
      <c r="N171" s="12"/>
      <c r="O171" s="12"/>
      <c r="P171" s="12"/>
      <c r="Q171" s="12"/>
    </row>
    <row r="172" spans="1:17" s="11" customFormat="1" ht="15" customHeight="1" x14ac:dyDescent="0.2">
      <c r="A172" s="241"/>
      <c r="B172" s="2555" t="s">
        <v>2134</v>
      </c>
      <c r="C172" s="2556"/>
      <c r="D172" s="2559" t="s">
        <v>2135</v>
      </c>
      <c r="E172" s="2559"/>
      <c r="F172" s="2559"/>
      <c r="G172" s="2559"/>
      <c r="H172" s="2560">
        <v>14</v>
      </c>
      <c r="I172" s="2560"/>
      <c r="J172" s="12"/>
      <c r="K172" s="12"/>
      <c r="L172" s="12"/>
      <c r="M172" s="12"/>
      <c r="N172" s="12"/>
      <c r="O172" s="12"/>
      <c r="P172" s="12"/>
      <c r="Q172" s="12"/>
    </row>
    <row r="173" spans="1:17" s="11" customFormat="1" ht="15" customHeight="1" x14ac:dyDescent="0.2">
      <c r="A173" s="241"/>
      <c r="B173" s="2555" t="s">
        <v>2136</v>
      </c>
      <c r="C173" s="2556"/>
      <c r="D173" s="2559" t="s">
        <v>2137</v>
      </c>
      <c r="E173" s="2559"/>
      <c r="F173" s="2559"/>
      <c r="G173" s="2559"/>
      <c r="H173" s="2560">
        <v>10</v>
      </c>
      <c r="I173" s="2560"/>
      <c r="J173" s="12"/>
      <c r="K173" s="12"/>
      <c r="L173" s="12"/>
      <c r="M173" s="12"/>
      <c r="N173" s="12"/>
      <c r="O173" s="12"/>
      <c r="P173" s="12"/>
      <c r="Q173" s="12"/>
    </row>
    <row r="174" spans="1:17" s="11" customFormat="1" ht="15" customHeight="1" x14ac:dyDescent="0.2">
      <c r="A174" s="241"/>
      <c r="B174" s="2555" t="s">
        <v>2138</v>
      </c>
      <c r="C174" s="2556"/>
      <c r="D174" s="2559" t="s">
        <v>2139</v>
      </c>
      <c r="E174" s="2559"/>
      <c r="F174" s="2559"/>
      <c r="G174" s="2559"/>
      <c r="H174" s="2560">
        <v>14</v>
      </c>
      <c r="I174" s="2560"/>
      <c r="J174" s="12"/>
      <c r="K174" s="12"/>
      <c r="L174" s="12"/>
      <c r="M174" s="12"/>
      <c r="N174" s="12"/>
      <c r="O174" s="12"/>
      <c r="P174" s="12"/>
      <c r="Q174" s="12"/>
    </row>
    <row r="175" spans="1:17" s="11" customFormat="1" ht="15" customHeight="1" x14ac:dyDescent="0.2">
      <c r="A175" s="241"/>
      <c r="B175" s="2557"/>
      <c r="C175" s="2558"/>
      <c r="D175" s="2559" t="s">
        <v>2140</v>
      </c>
      <c r="E175" s="2559"/>
      <c r="F175" s="2559"/>
      <c r="G175" s="2559"/>
      <c r="H175" s="2560">
        <v>9</v>
      </c>
      <c r="I175" s="2560"/>
      <c r="J175" s="12"/>
      <c r="K175" s="12"/>
      <c r="L175" s="12"/>
      <c r="M175" s="12"/>
      <c r="N175" s="12"/>
      <c r="O175" s="12"/>
      <c r="P175" s="12"/>
      <c r="Q175" s="12"/>
    </row>
    <row r="176" spans="1:17" s="11" customFormat="1" ht="15" customHeight="1" x14ac:dyDescent="0.2">
      <c r="A176" s="241"/>
      <c r="B176" s="241"/>
      <c r="C176" s="241"/>
      <c r="D176" s="241"/>
      <c r="E176" s="241"/>
      <c r="F176" s="241"/>
      <c r="G176" s="241"/>
      <c r="H176" s="12"/>
      <c r="I176" s="12"/>
      <c r="J176" s="12"/>
      <c r="K176" s="12"/>
      <c r="L176" s="12"/>
      <c r="M176" s="12"/>
      <c r="N176" s="12"/>
      <c r="O176" s="12"/>
      <c r="P176" s="12"/>
      <c r="Q176" s="12"/>
    </row>
    <row r="177" spans="1:17" s="11" customFormat="1" ht="15" customHeight="1" x14ac:dyDescent="0.2">
      <c r="A177" s="208"/>
      <c r="B177" s="208"/>
      <c r="C177" s="208"/>
      <c r="D177" s="208"/>
      <c r="E177" s="208"/>
      <c r="F177" s="208"/>
      <c r="G177" s="208"/>
      <c r="H177" s="208"/>
      <c r="I177" s="208"/>
      <c r="J177" s="208"/>
      <c r="K177" s="208"/>
      <c r="L177" s="208"/>
      <c r="M177" s="208"/>
      <c r="N177" s="208"/>
      <c r="O177" s="208"/>
      <c r="P177" s="208"/>
      <c r="Q177" s="208"/>
    </row>
    <row r="178" spans="1:17" s="11" customFormat="1" ht="15" hidden="1" customHeight="1" x14ac:dyDescent="0.2">
      <c r="A178" s="12"/>
      <c r="B178" s="12"/>
      <c r="C178" s="12"/>
      <c r="D178" s="12"/>
      <c r="E178" s="12"/>
      <c r="F178" s="12"/>
      <c r="G178" s="13"/>
      <c r="H178" s="13"/>
      <c r="I178" s="13"/>
      <c r="J178" s="13"/>
      <c r="K178" s="13"/>
      <c r="L178" s="13"/>
      <c r="M178" s="13"/>
      <c r="N178" s="13"/>
      <c r="O178" s="13"/>
      <c r="P178" s="13"/>
      <c r="Q178" s="13"/>
    </row>
    <row r="179" spans="1:17" s="11" customFormat="1" ht="15" hidden="1" customHeight="1" x14ac:dyDescent="0.2">
      <c r="A179" s="12"/>
      <c r="B179" s="12"/>
      <c r="C179" s="12"/>
      <c r="D179" s="12"/>
      <c r="E179" s="12"/>
      <c r="F179" s="12"/>
      <c r="G179" s="13"/>
      <c r="H179" s="13"/>
      <c r="I179" s="13"/>
      <c r="J179" s="13"/>
      <c r="K179" s="13"/>
      <c r="L179" s="13"/>
      <c r="M179" s="13"/>
      <c r="N179" s="13"/>
      <c r="O179" s="13"/>
      <c r="P179" s="13"/>
      <c r="Q179" s="13"/>
    </row>
    <row r="180" spans="1:17" s="11" customFormat="1" ht="15" hidden="1" customHeight="1" x14ac:dyDescent="0.2">
      <c r="A180" s="12"/>
      <c r="B180" s="12"/>
      <c r="C180" s="12"/>
      <c r="D180" s="12"/>
      <c r="E180" s="12"/>
      <c r="F180" s="12"/>
      <c r="G180" s="13"/>
      <c r="H180" s="13"/>
      <c r="I180" s="13"/>
      <c r="J180" s="13"/>
      <c r="K180" s="13"/>
      <c r="L180" s="13"/>
      <c r="M180" s="13"/>
      <c r="N180" s="13"/>
      <c r="O180" s="13"/>
      <c r="P180" s="13"/>
      <c r="Q180" s="13"/>
    </row>
    <row r="181" spans="1:17" s="11" customFormat="1" ht="15" hidden="1" customHeight="1" x14ac:dyDescent="0.2">
      <c r="A181" s="12"/>
      <c r="B181" s="12"/>
      <c r="C181" s="12"/>
      <c r="D181" s="12"/>
      <c r="E181" s="12"/>
      <c r="F181" s="12"/>
      <c r="G181" s="13"/>
      <c r="H181" s="13"/>
      <c r="I181" s="13"/>
      <c r="J181" s="13"/>
      <c r="K181" s="13"/>
      <c r="L181" s="13"/>
      <c r="M181" s="13"/>
      <c r="N181" s="13"/>
      <c r="O181" s="13"/>
      <c r="P181" s="13"/>
      <c r="Q181" s="13"/>
    </row>
    <row r="182" spans="1:17" s="11" customFormat="1" ht="15" hidden="1" customHeight="1" x14ac:dyDescent="0.2">
      <c r="A182" s="12"/>
      <c r="B182" s="12"/>
      <c r="C182" s="12"/>
      <c r="D182" s="12"/>
      <c r="E182" s="12"/>
      <c r="F182" s="12"/>
      <c r="G182" s="13"/>
      <c r="H182" s="13"/>
      <c r="I182" s="13"/>
      <c r="J182" s="13"/>
      <c r="K182" s="13"/>
      <c r="L182" s="13"/>
      <c r="M182" s="13"/>
      <c r="N182" s="13"/>
      <c r="O182" s="13"/>
      <c r="P182" s="13"/>
      <c r="Q182" s="13"/>
    </row>
    <row r="183" spans="1:17" s="11" customFormat="1" ht="15" hidden="1" customHeight="1" x14ac:dyDescent="0.2">
      <c r="A183" s="12"/>
      <c r="B183" s="12"/>
      <c r="C183" s="12"/>
      <c r="D183" s="12"/>
      <c r="E183" s="12"/>
      <c r="F183" s="12"/>
      <c r="G183" s="13"/>
      <c r="H183" s="13"/>
      <c r="I183" s="13"/>
      <c r="J183" s="13"/>
      <c r="K183" s="13"/>
      <c r="L183" s="13"/>
      <c r="M183" s="13"/>
      <c r="N183" s="13"/>
      <c r="O183" s="13"/>
      <c r="P183" s="13"/>
      <c r="Q183" s="13"/>
    </row>
    <row r="184" spans="1:17" s="11" customFormat="1" ht="15" hidden="1" customHeight="1" x14ac:dyDescent="0.2">
      <c r="A184" s="12"/>
      <c r="B184" s="12"/>
      <c r="C184" s="12"/>
      <c r="D184" s="12"/>
      <c r="E184" s="12"/>
      <c r="F184" s="12"/>
      <c r="G184" s="13"/>
      <c r="H184" s="13"/>
      <c r="I184" s="13"/>
      <c r="J184" s="13"/>
      <c r="K184" s="13"/>
      <c r="L184" s="13"/>
      <c r="M184" s="13"/>
      <c r="N184" s="13"/>
      <c r="O184" s="13"/>
      <c r="P184" s="13"/>
      <c r="Q184" s="13"/>
    </row>
    <row r="185" spans="1:17" s="11" customFormat="1" ht="15" hidden="1" customHeight="1" x14ac:dyDescent="0.2">
      <c r="A185" s="12"/>
      <c r="B185" s="12"/>
      <c r="C185" s="12"/>
      <c r="D185" s="12"/>
      <c r="E185" s="12"/>
      <c r="F185" s="12"/>
      <c r="G185" s="13"/>
      <c r="H185" s="13"/>
      <c r="I185" s="13"/>
      <c r="J185" s="13"/>
      <c r="K185" s="13"/>
      <c r="L185" s="13"/>
      <c r="M185" s="13"/>
      <c r="N185" s="13"/>
      <c r="O185" s="13"/>
      <c r="P185" s="13"/>
      <c r="Q185" s="13"/>
    </row>
    <row r="186" spans="1:17" s="11" customFormat="1" ht="15" hidden="1" customHeight="1" x14ac:dyDescent="0.2">
      <c r="A186" s="12"/>
      <c r="B186" s="12"/>
      <c r="C186" s="12"/>
      <c r="D186" s="12"/>
      <c r="E186" s="12"/>
      <c r="F186" s="12"/>
      <c r="G186" s="13"/>
      <c r="H186" s="13"/>
      <c r="I186" s="13"/>
      <c r="J186" s="13"/>
      <c r="K186" s="13"/>
      <c r="L186" s="13"/>
      <c r="M186" s="13"/>
      <c r="N186" s="13"/>
      <c r="O186" s="13"/>
      <c r="P186" s="13"/>
      <c r="Q186" s="13"/>
    </row>
    <row r="187" spans="1:17" s="11" customFormat="1" ht="15" hidden="1" customHeight="1" x14ac:dyDescent="0.2">
      <c r="A187" s="12"/>
      <c r="B187" s="12"/>
      <c r="C187" s="12"/>
      <c r="D187" s="12"/>
      <c r="E187" s="12"/>
      <c r="F187" s="12"/>
      <c r="G187" s="13"/>
      <c r="H187" s="13"/>
      <c r="I187" s="13"/>
      <c r="J187" s="13"/>
      <c r="K187" s="13"/>
      <c r="L187" s="13"/>
      <c r="M187" s="13"/>
      <c r="N187" s="13"/>
      <c r="O187" s="13"/>
      <c r="P187" s="13"/>
      <c r="Q187" s="13"/>
    </row>
    <row r="188" spans="1:17" s="11" customFormat="1" ht="15" hidden="1" customHeight="1" x14ac:dyDescent="0.2">
      <c r="A188" s="12"/>
      <c r="B188" s="12"/>
      <c r="C188" s="12"/>
      <c r="D188" s="12"/>
      <c r="E188" s="12"/>
      <c r="F188" s="12"/>
      <c r="G188" s="13"/>
      <c r="H188" s="13"/>
      <c r="I188" s="13"/>
      <c r="J188" s="13"/>
      <c r="K188" s="13"/>
      <c r="L188" s="13"/>
      <c r="M188" s="13"/>
      <c r="N188" s="13"/>
      <c r="O188" s="13"/>
      <c r="P188" s="13"/>
      <c r="Q188" s="13"/>
    </row>
    <row r="189" spans="1:17" hidden="1" x14ac:dyDescent="0.25"/>
    <row r="190" spans="1:17" hidden="1" x14ac:dyDescent="0.25"/>
    <row r="191" spans="1:17" hidden="1" x14ac:dyDescent="0.25"/>
    <row r="192" spans="1:17"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sheetData>
  <sheetProtection algorithmName="SHA-512" hashValue="6dfXL1zPi7pKp0xOz0Rj2L5ZCs+n9uAjcK0nR60cv9NpcKWjW8mckm7/u4hEFneI1nhvTK4lfxAsqPKlxmzS2A==" saltValue="Lp53PRDpN5FS2G3n+4qZNQ==" spinCount="100000" sheet="1" objects="1" scenarios="1" formatRows="0"/>
  <mergeCells count="389">
    <mergeCell ref="A1:Q1"/>
    <mergeCell ref="B62:E62"/>
    <mergeCell ref="B65:C65"/>
    <mergeCell ref="B66:C66"/>
    <mergeCell ref="B63:C63"/>
    <mergeCell ref="D63:E63"/>
    <mergeCell ref="B64:C64"/>
    <mergeCell ref="B67:C67"/>
    <mergeCell ref="B68:C68"/>
    <mergeCell ref="B59:C59"/>
    <mergeCell ref="D59:E59"/>
    <mergeCell ref="F59:G59"/>
    <mergeCell ref="H59:I59"/>
    <mergeCell ref="J59:K59"/>
    <mergeCell ref="B57:C57"/>
    <mergeCell ref="D57:E57"/>
    <mergeCell ref="F57:G57"/>
    <mergeCell ref="H57:I57"/>
    <mergeCell ref="J57:K57"/>
    <mergeCell ref="B58:C58"/>
    <mergeCell ref="D58:E58"/>
    <mergeCell ref="F58:G58"/>
    <mergeCell ref="H58:I58"/>
    <mergeCell ref="J58:K58"/>
    <mergeCell ref="B69:C69"/>
    <mergeCell ref="D64:E64"/>
    <mergeCell ref="D65:E65"/>
    <mergeCell ref="D66:E66"/>
    <mergeCell ref="D67:E67"/>
    <mergeCell ref="D68:E68"/>
    <mergeCell ref="D69:E69"/>
    <mergeCell ref="H75:M76"/>
    <mergeCell ref="J109:K109"/>
    <mergeCell ref="L109:M109"/>
    <mergeCell ref="J105:K106"/>
    <mergeCell ref="L105:M106"/>
    <mergeCell ref="A88:F88"/>
    <mergeCell ref="C105:D105"/>
    <mergeCell ref="C106:D106"/>
    <mergeCell ref="J107:K107"/>
    <mergeCell ref="J108:K108"/>
    <mergeCell ref="L107:M107"/>
    <mergeCell ref="L108:M108"/>
    <mergeCell ref="C109:D109"/>
    <mergeCell ref="B55:C55"/>
    <mergeCell ref="D55:E55"/>
    <mergeCell ref="F55:G55"/>
    <mergeCell ref="H55:I55"/>
    <mergeCell ref="J55:K55"/>
    <mergeCell ref="B56:C56"/>
    <mergeCell ref="D56:E56"/>
    <mergeCell ref="F56:G56"/>
    <mergeCell ref="H56:I56"/>
    <mergeCell ref="J56:K56"/>
    <mergeCell ref="B52:C53"/>
    <mergeCell ref="D52:E53"/>
    <mergeCell ref="F52:G53"/>
    <mergeCell ref="H52:I53"/>
    <mergeCell ref="J52:K53"/>
    <mergeCell ref="B54:C54"/>
    <mergeCell ref="D54:E54"/>
    <mergeCell ref="F54:G54"/>
    <mergeCell ref="H54:I54"/>
    <mergeCell ref="J54:K54"/>
    <mergeCell ref="B48:K48"/>
    <mergeCell ref="B49:C50"/>
    <mergeCell ref="D49:I49"/>
    <mergeCell ref="J49:K50"/>
    <mergeCell ref="D50:E50"/>
    <mergeCell ref="F50:G50"/>
    <mergeCell ref="H50:I50"/>
    <mergeCell ref="B51:C51"/>
    <mergeCell ref="D51:E51"/>
    <mergeCell ref="F51:G51"/>
    <mergeCell ref="H51:I51"/>
    <mergeCell ref="J51:K51"/>
    <mergeCell ref="L44:M44"/>
    <mergeCell ref="B45:C45"/>
    <mergeCell ref="D45:E45"/>
    <mergeCell ref="F45:G45"/>
    <mergeCell ref="H45:I45"/>
    <mergeCell ref="L45:M45"/>
    <mergeCell ref="H37:I37"/>
    <mergeCell ref="B28:C28"/>
    <mergeCell ref="D28:E28"/>
    <mergeCell ref="F28:G28"/>
    <mergeCell ref="J28:K28"/>
    <mergeCell ref="B29:C29"/>
    <mergeCell ref="D29:E29"/>
    <mergeCell ref="F29:G29"/>
    <mergeCell ref="J29:K29"/>
    <mergeCell ref="B30:C30"/>
    <mergeCell ref="D30:E30"/>
    <mergeCell ref="F30:G30"/>
    <mergeCell ref="J30:K30"/>
    <mergeCell ref="H28:I28"/>
    <mergeCell ref="H29:I29"/>
    <mergeCell ref="H30:I30"/>
    <mergeCell ref="J41:K41"/>
    <mergeCell ref="J42:K42"/>
    <mergeCell ref="J43:K43"/>
    <mergeCell ref="B42:C42"/>
    <mergeCell ref="D42:E42"/>
    <mergeCell ref="F42:G42"/>
    <mergeCell ref="H42:I42"/>
    <mergeCell ref="J44:K44"/>
    <mergeCell ref="J45:K45"/>
    <mergeCell ref="B44:C44"/>
    <mergeCell ref="D44:E44"/>
    <mergeCell ref="F44:G44"/>
    <mergeCell ref="H44:I44"/>
    <mergeCell ref="B34:K34"/>
    <mergeCell ref="J36:K36"/>
    <mergeCell ref="J37:K37"/>
    <mergeCell ref="J38:K39"/>
    <mergeCell ref="B37:C37"/>
    <mergeCell ref="D37:E37"/>
    <mergeCell ref="F37:G37"/>
    <mergeCell ref="L42:M42"/>
    <mergeCell ref="B43:C43"/>
    <mergeCell ref="D43:E43"/>
    <mergeCell ref="F43:G43"/>
    <mergeCell ref="H43:I43"/>
    <mergeCell ref="L43:M43"/>
    <mergeCell ref="B40:C40"/>
    <mergeCell ref="D40:E40"/>
    <mergeCell ref="F40:G40"/>
    <mergeCell ref="H40:I40"/>
    <mergeCell ref="L40:M40"/>
    <mergeCell ref="B41:C41"/>
    <mergeCell ref="D41:E41"/>
    <mergeCell ref="F41:G41"/>
    <mergeCell ref="H41:I41"/>
    <mergeCell ref="L41:M41"/>
    <mergeCell ref="J40:K40"/>
    <mergeCell ref="B27:C27"/>
    <mergeCell ref="D27:E27"/>
    <mergeCell ref="F27:G27"/>
    <mergeCell ref="J27:K27"/>
    <mergeCell ref="H25:I25"/>
    <mergeCell ref="H26:I26"/>
    <mergeCell ref="H27:I27"/>
    <mergeCell ref="L37:M37"/>
    <mergeCell ref="B38:C39"/>
    <mergeCell ref="D38:E39"/>
    <mergeCell ref="F38:G39"/>
    <mergeCell ref="H38:I39"/>
    <mergeCell ref="L38:M39"/>
    <mergeCell ref="B31:C31"/>
    <mergeCell ref="D31:E31"/>
    <mergeCell ref="F31:G31"/>
    <mergeCell ref="H31:I31"/>
    <mergeCell ref="J31:K31"/>
    <mergeCell ref="B35:C36"/>
    <mergeCell ref="D35:I35"/>
    <mergeCell ref="L35:M36"/>
    <mergeCell ref="D36:E36"/>
    <mergeCell ref="F36:G36"/>
    <mergeCell ref="H36:I36"/>
    <mergeCell ref="F11:G11"/>
    <mergeCell ref="D12:E12"/>
    <mergeCell ref="H12:I12"/>
    <mergeCell ref="H13:I13"/>
    <mergeCell ref="B25:C25"/>
    <mergeCell ref="D25:E25"/>
    <mergeCell ref="F25:G25"/>
    <mergeCell ref="J25:K25"/>
    <mergeCell ref="B26:C26"/>
    <mergeCell ref="D26:E26"/>
    <mergeCell ref="F26:G26"/>
    <mergeCell ref="J26:K26"/>
    <mergeCell ref="B22:C22"/>
    <mergeCell ref="D22:E22"/>
    <mergeCell ref="F22:G22"/>
    <mergeCell ref="J22:K22"/>
    <mergeCell ref="B23:C24"/>
    <mergeCell ref="J23:K24"/>
    <mergeCell ref="H22:I22"/>
    <mergeCell ref="D23:E24"/>
    <mergeCell ref="F23:G24"/>
    <mergeCell ref="H23:I24"/>
    <mergeCell ref="B5:I5"/>
    <mergeCell ref="B20:C21"/>
    <mergeCell ref="J20:K21"/>
    <mergeCell ref="D21:E21"/>
    <mergeCell ref="F21:G21"/>
    <mergeCell ref="D20:I20"/>
    <mergeCell ref="H21:I21"/>
    <mergeCell ref="F12:G12"/>
    <mergeCell ref="D13:E13"/>
    <mergeCell ref="F13:G13"/>
    <mergeCell ref="D14:E14"/>
    <mergeCell ref="F14:G14"/>
    <mergeCell ref="D15:E15"/>
    <mergeCell ref="F15:G15"/>
    <mergeCell ref="D16:E16"/>
    <mergeCell ref="F16:G16"/>
    <mergeCell ref="H11:I11"/>
    <mergeCell ref="H14:I14"/>
    <mergeCell ref="H15:I15"/>
    <mergeCell ref="H16:I16"/>
    <mergeCell ref="B6:C7"/>
    <mergeCell ref="B8:C8"/>
    <mergeCell ref="B19:K19"/>
    <mergeCell ref="D11:E11"/>
    <mergeCell ref="A3:F3"/>
    <mergeCell ref="D7:E7"/>
    <mergeCell ref="F7:G7"/>
    <mergeCell ref="D6:G6"/>
    <mergeCell ref="H6:I7"/>
    <mergeCell ref="H8:I8"/>
    <mergeCell ref="H9:I10"/>
    <mergeCell ref="E104:F104"/>
    <mergeCell ref="C104:D104"/>
    <mergeCell ref="H90:P90"/>
    <mergeCell ref="I104:N104"/>
    <mergeCell ref="B11:C11"/>
    <mergeCell ref="B12:C12"/>
    <mergeCell ref="B13:C13"/>
    <mergeCell ref="B14:C14"/>
    <mergeCell ref="B15:C15"/>
    <mergeCell ref="B16:C16"/>
    <mergeCell ref="B9:C10"/>
    <mergeCell ref="D8:E8"/>
    <mergeCell ref="F8:G8"/>
    <mergeCell ref="D9:E9"/>
    <mergeCell ref="F9:G9"/>
    <mergeCell ref="D10:E10"/>
    <mergeCell ref="F10:G10"/>
    <mergeCell ref="C110:D110"/>
    <mergeCell ref="C111:D111"/>
    <mergeCell ref="E105:F105"/>
    <mergeCell ref="E106:F106"/>
    <mergeCell ref="E107:F107"/>
    <mergeCell ref="E108:F108"/>
    <mergeCell ref="B102:D103"/>
    <mergeCell ref="E102:F103"/>
    <mergeCell ref="A73:F73"/>
    <mergeCell ref="A75:F76"/>
    <mergeCell ref="C91:C92"/>
    <mergeCell ref="B93:B95"/>
    <mergeCell ref="B96:B98"/>
    <mergeCell ref="B90:E90"/>
    <mergeCell ref="B104:B106"/>
    <mergeCell ref="B107:B111"/>
    <mergeCell ref="B91:B92"/>
    <mergeCell ref="D91:E91"/>
    <mergeCell ref="A101:F101"/>
    <mergeCell ref="E109:F109"/>
    <mergeCell ref="E110:F110"/>
    <mergeCell ref="E111:F111"/>
    <mergeCell ref="C107:D107"/>
    <mergeCell ref="C108:D108"/>
    <mergeCell ref="A115:J115"/>
    <mergeCell ref="B117:I117"/>
    <mergeCell ref="B118:I118"/>
    <mergeCell ref="B119:C119"/>
    <mergeCell ref="D119:G119"/>
    <mergeCell ref="H119:I119"/>
    <mergeCell ref="B120:C127"/>
    <mergeCell ref="D120:G120"/>
    <mergeCell ref="H120:I120"/>
    <mergeCell ref="D121:G121"/>
    <mergeCell ref="H121:I121"/>
    <mergeCell ref="D122:G122"/>
    <mergeCell ref="H122:I122"/>
    <mergeCell ref="D123:G123"/>
    <mergeCell ref="H123:I123"/>
    <mergeCell ref="D124:G124"/>
    <mergeCell ref="H124:I124"/>
    <mergeCell ref="D125:G125"/>
    <mergeCell ref="H125:I125"/>
    <mergeCell ref="D126:G126"/>
    <mergeCell ref="H126:I126"/>
    <mergeCell ref="D127:G127"/>
    <mergeCell ref="H127:I127"/>
    <mergeCell ref="B128:C128"/>
    <mergeCell ref="D128:G128"/>
    <mergeCell ref="H128:I128"/>
    <mergeCell ref="B129:C131"/>
    <mergeCell ref="D129:G129"/>
    <mergeCell ref="H129:I129"/>
    <mergeCell ref="D130:G130"/>
    <mergeCell ref="H130:I130"/>
    <mergeCell ref="D131:G131"/>
    <mergeCell ref="H131:I131"/>
    <mergeCell ref="B132:C138"/>
    <mergeCell ref="D132:G132"/>
    <mergeCell ref="H132:I132"/>
    <mergeCell ref="D133:G133"/>
    <mergeCell ref="H133:I133"/>
    <mergeCell ref="D134:G134"/>
    <mergeCell ref="H134:I134"/>
    <mergeCell ref="D135:G135"/>
    <mergeCell ref="H135:I135"/>
    <mergeCell ref="D136:G136"/>
    <mergeCell ref="H136:I136"/>
    <mergeCell ref="D137:G137"/>
    <mergeCell ref="H137:I137"/>
    <mergeCell ref="D138:G138"/>
    <mergeCell ref="H138:I138"/>
    <mergeCell ref="B139:C147"/>
    <mergeCell ref="D139:G139"/>
    <mergeCell ref="H139:I139"/>
    <mergeCell ref="D140:G140"/>
    <mergeCell ref="H140:I140"/>
    <mergeCell ref="D141:G141"/>
    <mergeCell ref="H141:I141"/>
    <mergeCell ref="D142:G142"/>
    <mergeCell ref="H142:I142"/>
    <mergeCell ref="D143:G143"/>
    <mergeCell ref="H143:I143"/>
    <mergeCell ref="D144:G144"/>
    <mergeCell ref="H144:I144"/>
    <mergeCell ref="D145:G145"/>
    <mergeCell ref="H145:I145"/>
    <mergeCell ref="D146:G146"/>
    <mergeCell ref="H146:I146"/>
    <mergeCell ref="D147:G147"/>
    <mergeCell ref="H147:I147"/>
    <mergeCell ref="B148:C151"/>
    <mergeCell ref="D148:G148"/>
    <mergeCell ref="H148:I148"/>
    <mergeCell ref="D149:G149"/>
    <mergeCell ref="H149:I149"/>
    <mergeCell ref="D150:G150"/>
    <mergeCell ref="H150:I150"/>
    <mergeCell ref="D151:G151"/>
    <mergeCell ref="H151:I151"/>
    <mergeCell ref="B152:C152"/>
    <mergeCell ref="D152:G152"/>
    <mergeCell ref="H152:I152"/>
    <mergeCell ref="B153:C155"/>
    <mergeCell ref="D153:G153"/>
    <mergeCell ref="H153:I153"/>
    <mergeCell ref="D154:G154"/>
    <mergeCell ref="H154:I154"/>
    <mergeCell ref="D155:G155"/>
    <mergeCell ref="H155:I155"/>
    <mergeCell ref="B156:C160"/>
    <mergeCell ref="D156:G156"/>
    <mergeCell ref="H156:I156"/>
    <mergeCell ref="D157:G157"/>
    <mergeCell ref="H157:I157"/>
    <mergeCell ref="D158:G158"/>
    <mergeCell ref="H158:I158"/>
    <mergeCell ref="D159:G159"/>
    <mergeCell ref="H159:I159"/>
    <mergeCell ref="D160:G160"/>
    <mergeCell ref="H160:I160"/>
    <mergeCell ref="B161:C161"/>
    <mergeCell ref="D161:G161"/>
    <mergeCell ref="H161:I161"/>
    <mergeCell ref="B162:C162"/>
    <mergeCell ref="D162:G162"/>
    <mergeCell ref="H162:I162"/>
    <mergeCell ref="B163:C164"/>
    <mergeCell ref="D163:G163"/>
    <mergeCell ref="H163:I163"/>
    <mergeCell ref="D164:G164"/>
    <mergeCell ref="H164:I164"/>
    <mergeCell ref="B165:C165"/>
    <mergeCell ref="D165:G165"/>
    <mergeCell ref="H165:I165"/>
    <mergeCell ref="B166:C170"/>
    <mergeCell ref="D166:G166"/>
    <mergeCell ref="H166:I166"/>
    <mergeCell ref="D167:G167"/>
    <mergeCell ref="H167:I167"/>
    <mergeCell ref="D168:G168"/>
    <mergeCell ref="H168:I168"/>
    <mergeCell ref="D169:G169"/>
    <mergeCell ref="H169:I169"/>
    <mergeCell ref="D170:G170"/>
    <mergeCell ref="H170:I170"/>
    <mergeCell ref="B174:C175"/>
    <mergeCell ref="D174:G174"/>
    <mergeCell ref="H174:I174"/>
    <mergeCell ref="D175:G175"/>
    <mergeCell ref="H175:I175"/>
    <mergeCell ref="B171:C171"/>
    <mergeCell ref="D171:G171"/>
    <mergeCell ref="H171:I171"/>
    <mergeCell ref="B172:C172"/>
    <mergeCell ref="D172:G172"/>
    <mergeCell ref="H172:I172"/>
    <mergeCell ref="B173:C173"/>
    <mergeCell ref="D173:G173"/>
    <mergeCell ref="H173:I173"/>
  </mergeCells>
  <pageMargins left="0.7" right="0.7" top="0.75" bottom="0.75" header="0.3" footer="0.3"/>
  <pageSetup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P98"/>
  <sheetViews>
    <sheetView showRowColHeaders="0" workbookViewId="0">
      <pane ySplit="7" topLeftCell="A8" activePane="bottomLeft" state="frozen"/>
      <selection pane="bottomLeft" activeCell="N4" sqref="N4"/>
    </sheetView>
  </sheetViews>
  <sheetFormatPr defaultColWidth="0" defaultRowHeight="15" customHeight="1" zeroHeight="1" x14ac:dyDescent="0.25"/>
  <cols>
    <col min="1" max="1" width="4.5703125" style="154" customWidth="1"/>
    <col min="2" max="5" width="10.7109375" style="154" customWidth="1"/>
    <col min="6" max="6" width="13.42578125" style="154" customWidth="1"/>
    <col min="7" max="8" width="10.7109375" style="154" customWidth="1"/>
    <col min="9" max="9" width="14.7109375" style="154" customWidth="1"/>
    <col min="10" max="10" width="13.42578125" style="154" customWidth="1"/>
    <col min="11" max="11" width="13" style="154" customWidth="1"/>
    <col min="12" max="12" width="13.140625" style="154" customWidth="1"/>
    <col min="13" max="14" width="13.5703125" style="154" customWidth="1"/>
    <col min="15" max="15" width="9.85546875" style="154" customWidth="1"/>
    <col min="16" max="16" width="0" style="154" hidden="1" customWidth="1"/>
    <col min="17" max="16384" width="9.140625" style="154" hidden="1"/>
  </cols>
  <sheetData>
    <row r="1" spans="1:16" ht="30" customHeight="1" x14ac:dyDescent="0.25">
      <c r="A1" s="1389" t="s">
        <v>1783</v>
      </c>
      <c r="B1" s="1390"/>
      <c r="C1" s="1390"/>
      <c r="D1" s="1390"/>
      <c r="E1" s="1390"/>
      <c r="F1" s="1390"/>
      <c r="G1" s="1390"/>
      <c r="H1" s="1390"/>
      <c r="I1" s="1390"/>
      <c r="J1" s="1409" t="s">
        <v>525</v>
      </c>
      <c r="K1" s="1409"/>
      <c r="L1" s="1409"/>
      <c r="M1" s="1409"/>
      <c r="N1" s="1409"/>
      <c r="O1" s="1409"/>
      <c r="P1" s="153"/>
    </row>
    <row r="2" spans="1:16" ht="18.75" x14ac:dyDescent="0.3">
      <c r="A2" s="962"/>
      <c r="B2" s="1391" t="s">
        <v>460</v>
      </c>
      <c r="C2" s="1391"/>
      <c r="D2" s="1391"/>
      <c r="E2" s="1391"/>
      <c r="F2" s="962"/>
      <c r="G2" s="962"/>
      <c r="H2" s="962"/>
      <c r="I2" s="962"/>
      <c r="J2" s="1394"/>
      <c r="K2" s="1394"/>
      <c r="L2" s="963"/>
      <c r="M2" s="963"/>
      <c r="N2" s="962"/>
      <c r="O2" s="962"/>
      <c r="P2" s="153"/>
    </row>
    <row r="3" spans="1:16" ht="18.75" x14ac:dyDescent="0.3">
      <c r="A3" s="962"/>
      <c r="B3" s="1391" t="s">
        <v>461</v>
      </c>
      <c r="C3" s="1391"/>
      <c r="D3" s="1391"/>
      <c r="E3" s="1391"/>
      <c r="F3" s="962"/>
      <c r="G3" s="962"/>
      <c r="H3" s="962"/>
      <c r="I3" s="962"/>
      <c r="J3" s="1410"/>
      <c r="K3" s="1410"/>
      <c r="L3" s="963"/>
      <c r="M3" s="963"/>
      <c r="N3" s="962"/>
      <c r="O3" s="962"/>
      <c r="P3" s="153"/>
    </row>
    <row r="4" spans="1:16" ht="18.75" x14ac:dyDescent="0.3">
      <c r="A4" s="962"/>
      <c r="B4" s="1391" t="s">
        <v>462</v>
      </c>
      <c r="C4" s="1391"/>
      <c r="D4" s="1391"/>
      <c r="E4" s="1391"/>
      <c r="F4" s="962"/>
      <c r="G4" s="962"/>
      <c r="H4" s="962"/>
      <c r="I4" s="962"/>
      <c r="J4" s="1410"/>
      <c r="K4" s="1410"/>
      <c r="L4" s="962"/>
      <c r="M4" s="962"/>
      <c r="N4" s="962"/>
      <c r="O4" s="962"/>
      <c r="P4" s="153"/>
    </row>
    <row r="5" spans="1:16" ht="12" customHeight="1" x14ac:dyDescent="0.25">
      <c r="A5" s="962"/>
      <c r="B5" s="962"/>
      <c r="C5" s="962"/>
      <c r="D5" s="962"/>
      <c r="E5" s="962"/>
      <c r="F5" s="962"/>
      <c r="G5" s="962"/>
      <c r="H5" s="962"/>
      <c r="I5" s="962"/>
      <c r="J5" s="962"/>
      <c r="K5" s="962"/>
      <c r="L5" s="962"/>
      <c r="M5" s="962"/>
      <c r="N5" s="962"/>
      <c r="O5" s="962"/>
      <c r="P5" s="153"/>
    </row>
    <row r="6" spans="1:16" ht="16.5" customHeight="1" x14ac:dyDescent="0.3">
      <c r="A6" s="357"/>
      <c r="B6" s="358" t="s">
        <v>1782</v>
      </c>
      <c r="C6" s="359"/>
      <c r="D6" s="359"/>
      <c r="E6" s="359"/>
      <c r="F6" s="359"/>
      <c r="G6" s="357"/>
      <c r="H6" s="357"/>
      <c r="I6" s="357"/>
      <c r="J6" s="357"/>
      <c r="K6" s="357"/>
      <c r="L6" s="357"/>
      <c r="M6" s="357"/>
      <c r="N6" s="357"/>
      <c r="O6" s="357"/>
      <c r="P6" s="153"/>
    </row>
    <row r="7" spans="1:16" ht="16.5" customHeight="1" x14ac:dyDescent="0.3">
      <c r="A7" s="357"/>
      <c r="B7" s="358" t="s">
        <v>463</v>
      </c>
      <c r="C7" s="359"/>
      <c r="D7" s="359"/>
      <c r="E7" s="359"/>
      <c r="F7" s="359"/>
      <c r="G7" s="357"/>
      <c r="H7" s="357"/>
      <c r="I7" s="357"/>
      <c r="J7" s="357"/>
      <c r="K7" s="357"/>
      <c r="L7" s="357"/>
      <c r="M7" s="357"/>
      <c r="N7" s="357"/>
      <c r="O7" s="357"/>
      <c r="P7" s="153"/>
    </row>
    <row r="8" spans="1:16" ht="15" customHeight="1" x14ac:dyDescent="0.3">
      <c r="A8" s="395"/>
      <c r="B8" s="399"/>
      <c r="C8" s="398"/>
      <c r="D8" s="398"/>
      <c r="E8" s="398"/>
      <c r="F8" s="398"/>
      <c r="G8" s="395"/>
      <c r="H8" s="395"/>
      <c r="I8" s="395"/>
      <c r="J8" s="395"/>
      <c r="K8" s="395"/>
      <c r="L8" s="395"/>
      <c r="M8" s="395"/>
      <c r="N8" s="395"/>
      <c r="O8" s="395"/>
      <c r="P8" s="153"/>
    </row>
    <row r="9" spans="1:16" ht="21" x14ac:dyDescent="0.35">
      <c r="A9" s="395"/>
      <c r="B9" s="988" t="s">
        <v>460</v>
      </c>
      <c r="C9" s="398"/>
      <c r="D9" s="398"/>
      <c r="E9" s="398"/>
      <c r="F9" s="398"/>
      <c r="G9" s="395"/>
      <c r="H9" s="395"/>
      <c r="I9" s="395"/>
      <c r="J9" s="395"/>
      <c r="K9" s="395"/>
      <c r="L9" s="395"/>
      <c r="M9" s="395"/>
      <c r="N9" s="395"/>
      <c r="O9" s="395"/>
      <c r="P9" s="153"/>
    </row>
    <row r="10" spans="1:16" ht="9" customHeight="1" x14ac:dyDescent="0.35">
      <c r="A10" s="395"/>
      <c r="B10" s="397"/>
      <c r="C10" s="398"/>
      <c r="D10" s="398"/>
      <c r="E10" s="398"/>
      <c r="F10" s="398"/>
      <c r="G10" s="395"/>
      <c r="H10" s="395"/>
      <c r="I10" s="395"/>
      <c r="J10" s="395"/>
      <c r="K10" s="395"/>
      <c r="L10" s="395"/>
      <c r="M10" s="395"/>
      <c r="N10" s="395"/>
      <c r="O10" s="395"/>
      <c r="P10" s="153"/>
    </row>
    <row r="11" spans="1:16" ht="16.5" customHeight="1" x14ac:dyDescent="0.3">
      <c r="A11" s="395"/>
      <c r="B11" s="399" t="s">
        <v>1307</v>
      </c>
      <c r="C11" s="398"/>
      <c r="D11" s="398"/>
      <c r="E11" s="398"/>
      <c r="F11" s="398"/>
      <c r="G11" s="395"/>
      <c r="H11" s="395"/>
      <c r="I11" s="395"/>
      <c r="J11" s="395"/>
      <c r="K11" s="395"/>
      <c r="L11" s="395"/>
      <c r="M11" s="395"/>
      <c r="N11" s="395"/>
      <c r="O11" s="395"/>
      <c r="P11" s="153"/>
    </row>
    <row r="12" spans="1:16" ht="16.5" customHeight="1" x14ac:dyDescent="0.3">
      <c r="A12" s="395"/>
      <c r="B12" s="399" t="s">
        <v>464</v>
      </c>
      <c r="C12" s="398"/>
      <c r="D12" s="398"/>
      <c r="E12" s="398"/>
      <c r="F12" s="398"/>
      <c r="G12" s="395"/>
      <c r="H12" s="395"/>
      <c r="I12" s="395"/>
      <c r="J12" s="395"/>
      <c r="K12" s="395"/>
      <c r="L12" s="395"/>
      <c r="M12" s="395"/>
      <c r="N12" s="395"/>
      <c r="O12" s="395"/>
      <c r="P12" s="153"/>
    </row>
    <row r="13" spans="1:16" ht="16.5" customHeight="1" x14ac:dyDescent="0.3">
      <c r="A13" s="395"/>
      <c r="B13" s="639" t="s">
        <v>1308</v>
      </c>
      <c r="C13" s="398"/>
      <c r="D13" s="398"/>
      <c r="E13" s="398"/>
      <c r="F13" s="398"/>
      <c r="G13" s="395"/>
      <c r="H13" s="395"/>
      <c r="I13" s="395"/>
      <c r="J13" s="395"/>
      <c r="K13" s="395"/>
      <c r="L13" s="395"/>
      <c r="M13" s="395"/>
      <c r="N13" s="395"/>
      <c r="O13" s="395"/>
      <c r="P13" s="153"/>
    </row>
    <row r="14" spans="1:16" ht="16.5" customHeight="1" x14ac:dyDescent="0.3">
      <c r="A14" s="395"/>
      <c r="B14" s="639" t="s">
        <v>1309</v>
      </c>
      <c r="C14" s="398"/>
      <c r="D14" s="398"/>
      <c r="E14" s="398"/>
      <c r="F14" s="398"/>
      <c r="G14" s="395"/>
      <c r="H14" s="395"/>
      <c r="I14" s="395"/>
      <c r="J14" s="395"/>
      <c r="K14" s="395"/>
      <c r="L14" s="395"/>
      <c r="M14" s="395"/>
      <c r="N14" s="395"/>
      <c r="O14" s="395"/>
      <c r="P14" s="153"/>
    </row>
    <row r="15" spans="1:16" ht="16.5" customHeight="1" x14ac:dyDescent="0.3">
      <c r="A15" s="395"/>
      <c r="B15" s="639" t="s">
        <v>1310</v>
      </c>
      <c r="C15" s="398"/>
      <c r="D15" s="398"/>
      <c r="E15" s="398"/>
      <c r="F15" s="398"/>
      <c r="G15" s="395"/>
      <c r="H15" s="395"/>
      <c r="I15" s="395"/>
      <c r="J15" s="395"/>
      <c r="K15" s="395"/>
      <c r="L15" s="395"/>
      <c r="M15" s="395"/>
      <c r="N15" s="395"/>
      <c r="O15" s="395"/>
      <c r="P15" s="153"/>
    </row>
    <row r="16" spans="1:16" ht="12" customHeight="1" x14ac:dyDescent="0.3">
      <c r="A16" s="395"/>
      <c r="B16" s="400"/>
      <c r="C16" s="398"/>
      <c r="D16" s="398"/>
      <c r="E16" s="398"/>
      <c r="F16" s="398"/>
      <c r="G16" s="395"/>
      <c r="H16" s="395"/>
      <c r="I16" s="395"/>
      <c r="J16" s="395"/>
      <c r="K16" s="395"/>
      <c r="L16" s="395"/>
      <c r="M16" s="395"/>
      <c r="N16" s="395"/>
      <c r="O16" s="395"/>
      <c r="P16" s="153"/>
    </row>
    <row r="17" spans="1:16" ht="21" x14ac:dyDescent="0.35">
      <c r="A17" s="395"/>
      <c r="B17" s="988" t="s">
        <v>461</v>
      </c>
      <c r="C17" s="401"/>
      <c r="D17" s="401"/>
      <c r="E17" s="401"/>
      <c r="F17" s="401"/>
      <c r="G17" s="401"/>
      <c r="H17" s="395"/>
      <c r="I17" s="395"/>
      <c r="J17" s="395"/>
      <c r="K17" s="395"/>
      <c r="L17" s="395"/>
      <c r="M17" s="395"/>
      <c r="N17" s="395"/>
      <c r="O17" s="395"/>
      <c r="P17" s="153"/>
    </row>
    <row r="18" spans="1:16" ht="9" customHeight="1" x14ac:dyDescent="0.3">
      <c r="A18" s="395"/>
      <c r="B18" s="403"/>
      <c r="C18" s="401"/>
      <c r="D18" s="401"/>
      <c r="E18" s="401"/>
      <c r="F18" s="401"/>
      <c r="G18" s="401"/>
      <c r="H18" s="395"/>
      <c r="I18" s="395"/>
      <c r="J18" s="395"/>
      <c r="K18" s="395"/>
      <c r="L18" s="395"/>
      <c r="M18" s="395"/>
      <c r="N18" s="395"/>
      <c r="O18" s="395"/>
      <c r="P18" s="153"/>
    </row>
    <row r="19" spans="1:16" ht="15" customHeight="1" x14ac:dyDescent="0.25">
      <c r="A19" s="395"/>
      <c r="B19" s="399" t="s">
        <v>2271</v>
      </c>
      <c r="C19" s="401"/>
      <c r="D19" s="401"/>
      <c r="E19" s="401"/>
      <c r="F19" s="401"/>
      <c r="G19" s="401"/>
      <c r="H19" s="395"/>
      <c r="I19" s="395"/>
      <c r="J19" s="395"/>
      <c r="K19" s="395"/>
      <c r="L19" s="395"/>
      <c r="M19" s="395"/>
      <c r="N19" s="395"/>
      <c r="O19" s="395"/>
      <c r="P19" s="153"/>
    </row>
    <row r="20" spans="1:16" ht="16.5" customHeight="1" x14ac:dyDescent="0.3">
      <c r="A20" s="395"/>
      <c r="B20" s="399" t="s">
        <v>860</v>
      </c>
      <c r="C20" s="398"/>
      <c r="D20" s="398"/>
      <c r="E20" s="398"/>
      <c r="F20" s="398"/>
      <c r="G20" s="395"/>
      <c r="H20" s="395"/>
      <c r="I20" s="395"/>
      <c r="J20" s="395"/>
      <c r="K20" s="395"/>
      <c r="L20" s="395"/>
      <c r="M20" s="395"/>
      <c r="N20" s="395"/>
      <c r="O20" s="395"/>
      <c r="P20" s="153"/>
    </row>
    <row r="21" spans="1:16" ht="16.5" customHeight="1" x14ac:dyDescent="0.3">
      <c r="A21" s="395"/>
      <c r="B21" s="399" t="s">
        <v>465</v>
      </c>
      <c r="C21" s="398"/>
      <c r="D21" s="398"/>
      <c r="E21" s="398"/>
      <c r="F21" s="398"/>
      <c r="G21" s="395"/>
      <c r="H21" s="395"/>
      <c r="I21" s="395"/>
      <c r="J21" s="395"/>
      <c r="K21" s="395"/>
      <c r="L21" s="395"/>
      <c r="M21" s="395"/>
      <c r="N21" s="395"/>
      <c r="O21" s="395"/>
      <c r="P21" s="153"/>
    </row>
    <row r="22" spans="1:16" ht="16.5" customHeight="1" x14ac:dyDescent="0.3">
      <c r="A22" s="395"/>
      <c r="B22" s="639" t="s">
        <v>466</v>
      </c>
      <c r="C22" s="398"/>
      <c r="D22" s="398"/>
      <c r="E22" s="398"/>
      <c r="F22" s="398"/>
      <c r="G22" s="395"/>
      <c r="H22" s="395"/>
      <c r="I22" s="395"/>
      <c r="J22" s="395"/>
      <c r="K22" s="395"/>
      <c r="L22" s="395"/>
      <c r="M22" s="395"/>
      <c r="N22" s="395"/>
      <c r="O22" s="395"/>
      <c r="P22" s="153"/>
    </row>
    <row r="23" spans="1:16" ht="16.5" customHeight="1" x14ac:dyDescent="0.3">
      <c r="A23" s="395"/>
      <c r="B23" s="639" t="s">
        <v>467</v>
      </c>
      <c r="C23" s="398"/>
      <c r="D23" s="398"/>
      <c r="E23" s="398"/>
      <c r="F23" s="398"/>
      <c r="G23" s="395"/>
      <c r="H23" s="395"/>
      <c r="I23" s="395"/>
      <c r="J23" s="395"/>
      <c r="K23" s="395"/>
      <c r="L23" s="395"/>
      <c r="M23" s="395"/>
      <c r="N23" s="395"/>
      <c r="O23" s="395"/>
      <c r="P23" s="153"/>
    </row>
    <row r="24" spans="1:16" ht="16.5" customHeight="1" x14ac:dyDescent="0.3">
      <c r="A24" s="395"/>
      <c r="B24" s="639" t="s">
        <v>468</v>
      </c>
      <c r="C24" s="398"/>
      <c r="D24" s="398"/>
      <c r="E24" s="398"/>
      <c r="F24" s="398"/>
      <c r="G24" s="395"/>
      <c r="H24" s="395"/>
      <c r="I24" s="395"/>
      <c r="J24" s="395"/>
      <c r="K24" s="395"/>
      <c r="L24" s="395"/>
      <c r="M24" s="395"/>
      <c r="N24" s="395"/>
      <c r="O24" s="395"/>
      <c r="P24" s="153"/>
    </row>
    <row r="25" spans="1:16" ht="16.5" customHeight="1" x14ac:dyDescent="0.3">
      <c r="A25" s="395"/>
      <c r="B25" s="399"/>
      <c r="C25" s="398"/>
      <c r="D25" s="398"/>
      <c r="E25" s="398"/>
      <c r="F25" s="398"/>
      <c r="G25" s="395"/>
      <c r="H25" s="395"/>
      <c r="I25" s="395"/>
      <c r="J25" s="395"/>
      <c r="K25" s="395"/>
      <c r="L25" s="395"/>
      <c r="M25" s="395"/>
      <c r="N25" s="395"/>
      <c r="O25" s="395"/>
      <c r="P25" s="153"/>
    </row>
    <row r="26" spans="1:16" ht="18" customHeight="1" x14ac:dyDescent="0.3">
      <c r="A26" s="395"/>
      <c r="B26" s="776"/>
      <c r="C26" s="777" t="s">
        <v>469</v>
      </c>
      <c r="D26" s="778"/>
      <c r="E26" s="778"/>
      <c r="F26" s="778"/>
      <c r="G26" s="779"/>
      <c r="H26" s="779"/>
      <c r="I26" s="779"/>
      <c r="J26" s="779"/>
      <c r="K26" s="779"/>
      <c r="L26" s="779"/>
      <c r="M26" s="780"/>
      <c r="N26" s="395"/>
      <c r="O26" s="395"/>
      <c r="P26" s="153"/>
    </row>
    <row r="27" spans="1:16" ht="18" customHeight="1" x14ac:dyDescent="0.25">
      <c r="A27" s="395"/>
      <c r="B27" s="781"/>
      <c r="C27" s="782" t="s">
        <v>470</v>
      </c>
      <c r="D27" s="783"/>
      <c r="E27" s="783"/>
      <c r="F27" s="784"/>
      <c r="G27" s="784"/>
      <c r="H27" s="784"/>
      <c r="I27" s="784"/>
      <c r="J27" s="785"/>
      <c r="K27" s="785"/>
      <c r="L27" s="784"/>
      <c r="M27" s="786"/>
      <c r="N27" s="395"/>
      <c r="O27" s="405"/>
      <c r="P27" s="153"/>
    </row>
    <row r="28" spans="1:16" ht="18" customHeight="1" x14ac:dyDescent="0.25">
      <c r="A28" s="395"/>
      <c r="B28" s="787"/>
      <c r="C28" s="788" t="s">
        <v>471</v>
      </c>
      <c r="D28" s="789"/>
      <c r="E28" s="789"/>
      <c r="F28" s="789"/>
      <c r="G28" s="789"/>
      <c r="H28" s="789"/>
      <c r="I28" s="789"/>
      <c r="J28" s="790"/>
      <c r="K28" s="790"/>
      <c r="L28" s="789"/>
      <c r="M28" s="791"/>
      <c r="N28" s="395"/>
      <c r="O28" s="405"/>
      <c r="P28" s="153"/>
    </row>
    <row r="29" spans="1:16" ht="12" customHeight="1" x14ac:dyDescent="0.25">
      <c r="A29" s="395"/>
      <c r="B29" s="404"/>
      <c r="C29" s="404"/>
      <c r="D29" s="404"/>
      <c r="E29" s="404"/>
      <c r="F29" s="404"/>
      <c r="G29" s="404"/>
      <c r="H29" s="404"/>
      <c r="I29" s="404"/>
      <c r="J29" s="395"/>
      <c r="K29" s="395"/>
      <c r="L29" s="404"/>
      <c r="M29" s="404"/>
      <c r="N29" s="404"/>
      <c r="O29" s="405"/>
      <c r="P29" s="153"/>
    </row>
    <row r="30" spans="1:16" ht="12" customHeight="1" x14ac:dyDescent="0.25">
      <c r="A30" s="395"/>
      <c r="B30" s="404"/>
      <c r="C30" s="404"/>
      <c r="D30" s="404"/>
      <c r="E30" s="404"/>
      <c r="F30" s="404"/>
      <c r="G30" s="404"/>
      <c r="H30" s="404"/>
      <c r="I30" s="404"/>
      <c r="J30" s="395"/>
      <c r="K30" s="395"/>
      <c r="L30" s="404"/>
      <c r="M30" s="404"/>
      <c r="N30" s="404"/>
      <c r="O30" s="405"/>
      <c r="P30" s="153"/>
    </row>
    <row r="31" spans="1:16" ht="15" customHeight="1" x14ac:dyDescent="0.35">
      <c r="A31" s="395"/>
      <c r="B31" s="988" t="s">
        <v>472</v>
      </c>
      <c r="C31" s="798"/>
      <c r="D31" s="798"/>
      <c r="E31" s="798"/>
      <c r="F31" s="404"/>
      <c r="G31" s="404"/>
      <c r="H31" s="404"/>
      <c r="I31" s="404"/>
      <c r="J31" s="395"/>
      <c r="K31" s="395"/>
      <c r="L31" s="404"/>
      <c r="M31" s="404"/>
      <c r="N31" s="404"/>
      <c r="O31" s="405"/>
      <c r="P31" s="153"/>
    </row>
    <row r="32" spans="1:16" ht="9" customHeight="1" x14ac:dyDescent="0.3">
      <c r="A32" s="395"/>
      <c r="B32" s="403"/>
      <c r="C32" s="401"/>
      <c r="D32" s="401"/>
      <c r="E32" s="401"/>
      <c r="F32" s="401"/>
      <c r="G32" s="401"/>
      <c r="H32" s="395"/>
      <c r="I32" s="395"/>
      <c r="J32" s="395"/>
      <c r="K32" s="395"/>
      <c r="L32" s="395"/>
      <c r="M32" s="395"/>
      <c r="N32" s="395"/>
      <c r="O32" s="395"/>
      <c r="P32" s="153"/>
    </row>
    <row r="33" spans="1:16" x14ac:dyDescent="0.25">
      <c r="A33" s="395"/>
      <c r="B33" s="799" t="s">
        <v>473</v>
      </c>
      <c r="C33" s="404"/>
      <c r="D33" s="404"/>
      <c r="E33" s="404"/>
      <c r="F33" s="404"/>
      <c r="G33" s="404"/>
      <c r="H33" s="404"/>
      <c r="I33" s="404"/>
      <c r="J33" s="395"/>
      <c r="K33" s="404"/>
      <c r="L33" s="404"/>
      <c r="M33" s="404"/>
      <c r="N33" s="404"/>
      <c r="O33" s="405"/>
      <c r="P33" s="153"/>
    </row>
    <row r="34" spans="1:16" ht="16.5" customHeight="1" x14ac:dyDescent="0.25">
      <c r="A34" s="395"/>
      <c r="B34" s="799" t="s">
        <v>474</v>
      </c>
      <c r="C34" s="404"/>
      <c r="D34" s="404"/>
      <c r="E34" s="404"/>
      <c r="F34" s="404"/>
      <c r="G34" s="404"/>
      <c r="H34" s="404"/>
      <c r="I34" s="404"/>
      <c r="J34" s="404"/>
      <c r="K34" s="404"/>
      <c r="L34" s="404"/>
      <c r="M34" s="404"/>
      <c r="N34" s="404"/>
      <c r="O34" s="405"/>
      <c r="P34" s="153"/>
    </row>
    <row r="35" spans="1:16" ht="15.75" customHeight="1" x14ac:dyDescent="0.25">
      <c r="A35" s="395"/>
      <c r="B35" s="639" t="s">
        <v>475</v>
      </c>
      <c r="C35" s="399"/>
      <c r="D35" s="399"/>
      <c r="E35" s="399"/>
      <c r="F35" s="404"/>
      <c r="G35" s="404"/>
      <c r="H35" s="404"/>
      <c r="I35" s="404"/>
      <c r="J35" s="404"/>
      <c r="K35" s="404"/>
      <c r="L35" s="404"/>
      <c r="M35" s="404"/>
      <c r="N35" s="404"/>
      <c r="O35" s="405"/>
      <c r="P35" s="153"/>
    </row>
    <row r="36" spans="1:16" ht="15.75" customHeight="1" x14ac:dyDescent="0.25">
      <c r="A36" s="395"/>
      <c r="B36" s="639" t="s">
        <v>476</v>
      </c>
      <c r="C36" s="399"/>
      <c r="D36" s="399"/>
      <c r="E36" s="399"/>
      <c r="F36" s="404"/>
      <c r="G36" s="404"/>
      <c r="H36" s="404"/>
      <c r="I36" s="404"/>
      <c r="J36" s="404"/>
      <c r="K36" s="404"/>
      <c r="L36" s="404"/>
      <c r="M36" s="404"/>
      <c r="N36" s="404"/>
      <c r="O36" s="405"/>
      <c r="P36" s="153"/>
    </row>
    <row r="37" spans="1:16" ht="17.25" customHeight="1" x14ac:dyDescent="0.25">
      <c r="A37" s="395"/>
      <c r="B37" s="399"/>
      <c r="C37" s="399"/>
      <c r="D37" s="399"/>
      <c r="E37" s="399"/>
      <c r="F37" s="404"/>
      <c r="G37" s="404"/>
      <c r="H37" s="404"/>
      <c r="I37" s="404"/>
      <c r="J37" s="404"/>
      <c r="K37" s="404"/>
      <c r="L37" s="404"/>
      <c r="M37" s="404"/>
      <c r="N37" s="404"/>
      <c r="O37" s="405"/>
      <c r="P37" s="153"/>
    </row>
    <row r="38" spans="1:16" ht="19.5" customHeight="1" x14ac:dyDescent="0.25">
      <c r="A38" s="395"/>
      <c r="B38" s="792"/>
      <c r="C38" s="777" t="s">
        <v>477</v>
      </c>
      <c r="D38" s="793"/>
      <c r="E38" s="793"/>
      <c r="F38" s="793"/>
      <c r="G38" s="793"/>
      <c r="H38" s="793"/>
      <c r="I38" s="793"/>
      <c r="J38" s="793"/>
      <c r="K38" s="793"/>
      <c r="L38" s="793"/>
      <c r="M38" s="794"/>
      <c r="N38" s="405"/>
      <c r="O38" s="405"/>
      <c r="P38" s="153"/>
    </row>
    <row r="39" spans="1:16" ht="19.5" customHeight="1" x14ac:dyDescent="0.25">
      <c r="A39" s="395"/>
      <c r="B39" s="795"/>
      <c r="C39" s="788" t="s">
        <v>489</v>
      </c>
      <c r="D39" s="796"/>
      <c r="E39" s="796"/>
      <c r="F39" s="796"/>
      <c r="G39" s="796"/>
      <c r="H39" s="796"/>
      <c r="I39" s="796"/>
      <c r="J39" s="796"/>
      <c r="K39" s="796"/>
      <c r="L39" s="796"/>
      <c r="M39" s="797"/>
      <c r="N39" s="405"/>
      <c r="O39" s="405"/>
      <c r="P39" s="153"/>
    </row>
    <row r="40" spans="1:16" ht="12.75" customHeight="1" x14ac:dyDescent="0.3">
      <c r="A40" s="395"/>
      <c r="B40" s="399"/>
      <c r="C40" s="800"/>
      <c r="D40" s="405"/>
      <c r="E40" s="405"/>
      <c r="F40" s="405"/>
      <c r="G40" s="405"/>
      <c r="H40" s="405"/>
      <c r="I40" s="405"/>
      <c r="J40" s="405"/>
      <c r="K40" s="405"/>
      <c r="L40" s="405"/>
      <c r="M40" s="405"/>
      <c r="N40" s="405"/>
      <c r="O40" s="405"/>
      <c r="P40" s="153"/>
    </row>
    <row r="41" spans="1:16" x14ac:dyDescent="0.25">
      <c r="A41" s="395"/>
      <c r="B41" s="402"/>
      <c r="C41" s="405"/>
      <c r="D41" s="405"/>
      <c r="E41" s="405"/>
      <c r="F41" s="405"/>
      <c r="G41" s="405"/>
      <c r="H41" s="405"/>
      <c r="I41" s="405"/>
      <c r="J41" s="405"/>
      <c r="K41" s="405"/>
      <c r="L41" s="405"/>
      <c r="M41" s="405"/>
      <c r="N41" s="405"/>
      <c r="O41" s="405"/>
      <c r="P41" s="153"/>
    </row>
    <row r="42" spans="1:16" ht="17.25" hidden="1" customHeight="1" x14ac:dyDescent="0.25">
      <c r="A42" s="153"/>
      <c r="B42" s="156"/>
      <c r="C42" s="156"/>
      <c r="D42" s="156"/>
      <c r="E42" s="156"/>
      <c r="F42" s="156"/>
      <c r="G42" s="156"/>
      <c r="H42" s="156"/>
      <c r="I42" s="156"/>
      <c r="J42" s="156"/>
      <c r="K42" s="156"/>
      <c r="L42" s="156"/>
      <c r="M42" s="156"/>
      <c r="N42" s="156"/>
      <c r="O42" s="156"/>
      <c r="P42" s="153"/>
    </row>
    <row r="43" spans="1:16" ht="17.25" hidden="1" customHeight="1" x14ac:dyDescent="0.25">
      <c r="A43" s="153"/>
      <c r="B43" s="156"/>
      <c r="C43" s="156"/>
      <c r="D43" s="156"/>
      <c r="E43" s="156"/>
      <c r="F43" s="156"/>
      <c r="G43" s="156"/>
      <c r="H43" s="156"/>
      <c r="I43" s="156"/>
      <c r="J43" s="156"/>
      <c r="K43" s="156"/>
      <c r="L43" s="156"/>
      <c r="M43" s="156"/>
      <c r="N43" s="156"/>
      <c r="O43" s="156"/>
      <c r="P43" s="153"/>
    </row>
    <row r="44" spans="1:16" ht="17.25" hidden="1" customHeight="1" x14ac:dyDescent="0.25">
      <c r="A44" s="153"/>
      <c r="B44" s="156"/>
      <c r="C44" s="156"/>
      <c r="D44" s="156"/>
      <c r="E44" s="156"/>
      <c r="F44" s="156"/>
      <c r="G44" s="156"/>
      <c r="H44" s="156"/>
      <c r="I44" s="156"/>
      <c r="J44" s="156"/>
      <c r="K44" s="156"/>
      <c r="L44" s="156"/>
      <c r="M44" s="156"/>
      <c r="N44" s="156"/>
      <c r="O44" s="156"/>
      <c r="P44" s="153"/>
    </row>
    <row r="45" spans="1:16" ht="17.25" hidden="1" customHeight="1" x14ac:dyDescent="0.25">
      <c r="A45" s="153"/>
      <c r="B45" s="156"/>
      <c r="C45" s="156"/>
      <c r="D45" s="156"/>
      <c r="E45" s="156"/>
      <c r="F45" s="156"/>
      <c r="G45" s="156"/>
      <c r="H45" s="156"/>
      <c r="I45" s="156"/>
      <c r="J45" s="156"/>
      <c r="K45" s="156"/>
      <c r="L45" s="156"/>
      <c r="M45" s="156"/>
      <c r="N45" s="156"/>
      <c r="O45" s="156"/>
      <c r="P45" s="153"/>
    </row>
    <row r="46" spans="1:16" ht="17.25" hidden="1" customHeight="1" x14ac:dyDescent="0.25">
      <c r="A46" s="153"/>
      <c r="B46" s="156"/>
      <c r="C46" s="156"/>
      <c r="D46" s="156"/>
      <c r="E46" s="156"/>
      <c r="F46" s="156"/>
      <c r="G46" s="156"/>
      <c r="H46" s="156"/>
      <c r="I46" s="156"/>
      <c r="J46" s="156"/>
      <c r="K46" s="156"/>
      <c r="L46" s="156"/>
      <c r="M46" s="156"/>
      <c r="N46" s="156"/>
      <c r="O46" s="156"/>
      <c r="P46" s="153"/>
    </row>
    <row r="47" spans="1:16" ht="17.25" hidden="1" customHeight="1" x14ac:dyDescent="0.25">
      <c r="A47" s="153"/>
      <c r="B47" s="156"/>
      <c r="C47" s="156"/>
      <c r="D47" s="156"/>
      <c r="E47" s="156"/>
      <c r="F47" s="156"/>
      <c r="G47" s="156"/>
      <c r="H47" s="156"/>
      <c r="I47" s="156"/>
      <c r="J47" s="156"/>
      <c r="K47" s="156"/>
      <c r="L47" s="156"/>
      <c r="M47" s="156"/>
      <c r="N47" s="156"/>
      <c r="O47" s="156"/>
      <c r="P47" s="153"/>
    </row>
    <row r="48" spans="1:16"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algorithmName="SHA-512" hashValue="1DcbyIhwSPrqGEr//MmaNHs4K+uZbVzyJMQCgPAgcp0l+N8GSk1ZWpbFP6EDvjgyspHKJoxslVs0Z22Yf1VCug==" saltValue="eGE2fRqsw0LpEb/5Wl+aOA==" spinCount="100000" sheet="1" objects="1" scenarios="1" formatRows="0"/>
  <mergeCells count="8">
    <mergeCell ref="J2:K2"/>
    <mergeCell ref="J3:K3"/>
    <mergeCell ref="J4:K4"/>
    <mergeCell ref="J1:O1"/>
    <mergeCell ref="A1:I1"/>
    <mergeCell ref="B2:E2"/>
    <mergeCell ref="B3:E3"/>
    <mergeCell ref="B4:E4"/>
  </mergeCells>
  <hyperlinks>
    <hyperlink ref="B3" location="Instructions!B16" tooltip="How to use this tool?" display="2. How to use this tool?" xr:uid="{00000000-0004-0000-0500-000000000000}"/>
    <hyperlink ref="B2" location="Instructions!B8" tooltip="General" display="1. General" xr:uid="{00000000-0004-0000-0500-000001000000}"/>
    <hyperlink ref="B4" location="Instructions!B35" tooltip="LOTUS Homes Submissions" display="3. LOTUS Homes Submissions" xr:uid="{00000000-0004-0000-0500-000002000000}"/>
    <hyperlink ref="B4:E4" location="Recommendations!B31" tooltip="Credit Compliance" display="3. Credit Compliance" xr:uid="{00000000-0004-0000-0500-000003000000}"/>
    <hyperlink ref="B3:E3" location="Recommendations!B17" tooltip="Selection of targeted credits" display="2. Selection of targeted credits" xr:uid="{00000000-0004-0000-0500-000004000000}"/>
    <hyperlink ref="B2:E2" location="Recommendations!B9" tooltip="Project and Objectives" display="1. Define the project and objectives" xr:uid="{00000000-0004-0000-0500-000005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dimension ref="A1:R91"/>
  <sheetViews>
    <sheetView showRowColHeaders="0" workbookViewId="0">
      <pane ySplit="3" topLeftCell="A4" activePane="bottomLeft" state="frozen"/>
      <selection pane="bottomLeft" activeCell="I6" sqref="I6:J7"/>
    </sheetView>
  </sheetViews>
  <sheetFormatPr defaultColWidth="0" defaultRowHeight="0" customHeight="1" zeroHeight="1" x14ac:dyDescent="0.25"/>
  <cols>
    <col min="1" max="1" width="4.140625" style="154" customWidth="1"/>
    <col min="2" max="2" width="34.42578125" style="154" customWidth="1"/>
    <col min="3" max="3" width="14.42578125" style="154" customWidth="1"/>
    <col min="4" max="4" width="13.7109375" style="154" customWidth="1"/>
    <col min="5" max="5" width="12.28515625" style="154" customWidth="1"/>
    <col min="6" max="7" width="15.7109375" style="154" customWidth="1"/>
    <col min="8" max="9" width="16.5703125" style="154" customWidth="1"/>
    <col min="10" max="10" width="16.7109375" style="154" customWidth="1"/>
    <col min="11" max="11" width="13.7109375" style="154" customWidth="1"/>
    <col min="12" max="16384" width="9.140625" style="154" hidden="1"/>
  </cols>
  <sheetData>
    <row r="1" spans="1:18" ht="33" customHeight="1" x14ac:dyDescent="0.25">
      <c r="A1" s="1430" t="s">
        <v>1493</v>
      </c>
      <c r="B1" s="1430"/>
      <c r="C1" s="1430"/>
      <c r="D1" s="1430"/>
      <c r="E1" s="1430"/>
      <c r="F1" s="1430"/>
      <c r="G1" s="1430"/>
      <c r="H1" s="1430"/>
      <c r="I1" s="1430"/>
      <c r="J1" s="1430"/>
      <c r="K1" s="1430"/>
      <c r="L1" s="361"/>
      <c r="M1" s="361"/>
      <c r="N1" s="361"/>
      <c r="O1" s="361"/>
      <c r="P1" s="361"/>
      <c r="Q1" s="361"/>
      <c r="R1" s="361"/>
    </row>
    <row r="2" spans="1:18" ht="18" customHeight="1" x14ac:dyDescent="0.25">
      <c r="A2" s="1422" t="s">
        <v>1639</v>
      </c>
      <c r="B2" s="1422"/>
      <c r="C2" s="1422"/>
      <c r="D2" s="1422"/>
      <c r="E2" s="1422"/>
      <c r="F2" s="1422"/>
      <c r="G2" s="1422"/>
      <c r="H2" s="1143"/>
      <c r="I2" s="1423" t="str">
        <f>IF(COUNTIF(I6:J27,"Eligibility Rule met")=6,"ELIGIBLE","NOT ELIGIBLE")</f>
        <v>NOT ELIGIBLE</v>
      </c>
      <c r="J2" s="1423"/>
      <c r="K2" s="1143"/>
      <c r="L2" s="362"/>
      <c r="M2" s="362"/>
      <c r="N2" s="362"/>
      <c r="O2" s="362"/>
      <c r="P2" s="362"/>
      <c r="Q2" s="362"/>
      <c r="R2" s="362"/>
    </row>
    <row r="3" spans="1:18" ht="18" customHeight="1" x14ac:dyDescent="0.25">
      <c r="A3" s="1422"/>
      <c r="B3" s="1422"/>
      <c r="C3" s="1422"/>
      <c r="D3" s="1422"/>
      <c r="E3" s="1422"/>
      <c r="F3" s="1422"/>
      <c r="G3" s="1422"/>
      <c r="H3" s="1143"/>
      <c r="I3" s="1423"/>
      <c r="J3" s="1423"/>
      <c r="K3" s="1143"/>
      <c r="L3" s="362"/>
      <c r="M3" s="362"/>
      <c r="N3" s="362"/>
      <c r="O3" s="362"/>
      <c r="P3" s="362"/>
      <c r="Q3" s="362"/>
      <c r="R3" s="362"/>
    </row>
    <row r="4" spans="1:18" ht="15" x14ac:dyDescent="0.25">
      <c r="A4" s="409"/>
      <c r="B4" s="410"/>
      <c r="C4" s="410"/>
      <c r="D4" s="410"/>
      <c r="E4" s="410"/>
      <c r="F4" s="410"/>
      <c r="G4" s="410"/>
      <c r="H4" s="410"/>
      <c r="I4" s="410"/>
      <c r="J4" s="410"/>
      <c r="K4" s="410"/>
    </row>
    <row r="5" spans="1:18" ht="21" x14ac:dyDescent="0.25">
      <c r="A5" s="409"/>
      <c r="B5" s="964" t="s">
        <v>1451</v>
      </c>
      <c r="C5" s="410"/>
      <c r="D5" s="410"/>
      <c r="E5" s="410"/>
      <c r="F5" s="410"/>
      <c r="G5" s="410"/>
      <c r="H5" s="410"/>
      <c r="I5" s="410"/>
      <c r="J5" s="410"/>
      <c r="K5" s="410"/>
    </row>
    <row r="6" spans="1:18" ht="15" x14ac:dyDescent="0.25">
      <c r="A6" s="409"/>
      <c r="B6" s="1431" t="s">
        <v>1452</v>
      </c>
      <c r="C6" s="1431"/>
      <c r="D6" s="1431"/>
      <c r="E6" s="1431"/>
      <c r="F6" s="1431"/>
      <c r="G6" s="1431"/>
      <c r="H6" s="1431"/>
      <c r="I6" s="1421" t="s">
        <v>236</v>
      </c>
      <c r="J6" s="1421"/>
      <c r="K6" s="410"/>
    </row>
    <row r="7" spans="1:18" ht="15" x14ac:dyDescent="0.25">
      <c r="A7" s="409"/>
      <c r="B7" s="1431"/>
      <c r="C7" s="1431"/>
      <c r="D7" s="1431"/>
      <c r="E7" s="1431"/>
      <c r="F7" s="1431"/>
      <c r="G7" s="1431"/>
      <c r="H7" s="1431"/>
      <c r="I7" s="1421"/>
      <c r="J7" s="1421"/>
      <c r="K7" s="410"/>
    </row>
    <row r="8" spans="1:18" ht="15" x14ac:dyDescent="0.25">
      <c r="A8" s="409"/>
      <c r="B8" s="410"/>
      <c r="C8" s="410"/>
      <c r="D8" s="410"/>
      <c r="E8" s="410"/>
      <c r="F8" s="410"/>
      <c r="G8" s="410"/>
      <c r="H8" s="410"/>
      <c r="I8" s="410"/>
      <c r="J8" s="410"/>
      <c r="K8" s="410"/>
    </row>
    <row r="9" spans="1:18" ht="21" customHeight="1" x14ac:dyDescent="0.25">
      <c r="A9" s="409"/>
      <c r="B9" s="964" t="s">
        <v>1453</v>
      </c>
      <c r="C9" s="410"/>
      <c r="D9" s="410"/>
      <c r="E9" s="410"/>
      <c r="F9" s="410"/>
      <c r="G9" s="410"/>
      <c r="H9" s="410"/>
      <c r="I9" s="410"/>
      <c r="J9" s="410"/>
      <c r="K9" s="410"/>
    </row>
    <row r="10" spans="1:18" ht="14.25" customHeight="1" x14ac:dyDescent="0.25">
      <c r="A10" s="410"/>
      <c r="B10" s="1431" t="s">
        <v>480</v>
      </c>
      <c r="C10" s="1431"/>
      <c r="D10" s="1431"/>
      <c r="E10" s="1431"/>
      <c r="F10" s="1431"/>
      <c r="G10" s="1431"/>
      <c r="H10" s="1431"/>
      <c r="I10" s="1421" t="s">
        <v>236</v>
      </c>
      <c r="J10" s="1421"/>
      <c r="K10" s="410"/>
    </row>
    <row r="11" spans="1:18" ht="15" x14ac:dyDescent="0.25">
      <c r="A11" s="409"/>
      <c r="B11" s="1431"/>
      <c r="C11" s="1431"/>
      <c r="D11" s="1431"/>
      <c r="E11" s="1431"/>
      <c r="F11" s="1431"/>
      <c r="G11" s="1431"/>
      <c r="H11" s="1431"/>
      <c r="I11" s="1421"/>
      <c r="J11" s="1421"/>
      <c r="K11" s="410"/>
    </row>
    <row r="12" spans="1:18" ht="15" x14ac:dyDescent="0.25">
      <c r="A12" s="409"/>
      <c r="B12" s="410"/>
      <c r="C12" s="410"/>
      <c r="D12" s="410"/>
      <c r="E12" s="410"/>
      <c r="F12" s="410"/>
      <c r="G12" s="410"/>
      <c r="H12" s="410"/>
      <c r="I12" s="410"/>
      <c r="J12" s="410"/>
      <c r="K12" s="410"/>
    </row>
    <row r="13" spans="1:18" ht="21" customHeight="1" x14ac:dyDescent="0.25">
      <c r="A13" s="409"/>
      <c r="B13" s="964" t="s">
        <v>1454</v>
      </c>
      <c r="C13" s="410"/>
      <c r="D13" s="410"/>
      <c r="E13" s="410"/>
      <c r="F13" s="410"/>
      <c r="G13" s="410"/>
      <c r="H13" s="410"/>
      <c r="I13" s="410"/>
      <c r="J13" s="410"/>
      <c r="K13" s="410"/>
    </row>
    <row r="14" spans="1:18" ht="18" customHeight="1" x14ac:dyDescent="0.25">
      <c r="A14" s="409"/>
      <c r="B14" s="1431" t="s">
        <v>481</v>
      </c>
      <c r="C14" s="1431"/>
      <c r="D14" s="1431"/>
      <c r="E14" s="1431"/>
      <c r="F14" s="1431"/>
      <c r="G14" s="1431"/>
      <c r="H14" s="1431"/>
      <c r="I14" s="1421" t="s">
        <v>236</v>
      </c>
      <c r="J14" s="1421"/>
      <c r="K14" s="410"/>
    </row>
    <row r="15" spans="1:18" ht="15" x14ac:dyDescent="0.25">
      <c r="A15" s="409"/>
      <c r="B15" s="410"/>
      <c r="C15" s="410"/>
      <c r="D15" s="410"/>
      <c r="E15" s="410"/>
      <c r="F15" s="410"/>
      <c r="G15" s="410"/>
      <c r="H15" s="410"/>
      <c r="I15" s="410"/>
      <c r="J15" s="410"/>
      <c r="K15" s="410"/>
    </row>
    <row r="16" spans="1:18" ht="21" customHeight="1" x14ac:dyDescent="0.25">
      <c r="A16" s="409"/>
      <c r="B16" s="964" t="s">
        <v>1455</v>
      </c>
      <c r="C16" s="410"/>
      <c r="D16" s="410"/>
      <c r="E16" s="410"/>
      <c r="F16" s="410"/>
      <c r="G16" s="410"/>
      <c r="H16" s="410"/>
      <c r="I16" s="410"/>
      <c r="J16" s="410"/>
      <c r="K16" s="410"/>
    </row>
    <row r="17" spans="1:11" ht="14.25" customHeight="1" x14ac:dyDescent="0.25">
      <c r="A17" s="409"/>
      <c r="B17" s="1431" t="s">
        <v>482</v>
      </c>
      <c r="C17" s="1431"/>
      <c r="D17" s="1431"/>
      <c r="E17" s="1431"/>
      <c r="F17" s="1431"/>
      <c r="G17" s="1431"/>
      <c r="H17" s="1431"/>
      <c r="I17" s="1421" t="s">
        <v>236</v>
      </c>
      <c r="J17" s="1421"/>
      <c r="K17" s="410"/>
    </row>
    <row r="18" spans="1:11" ht="15" x14ac:dyDescent="0.25">
      <c r="A18" s="409"/>
      <c r="B18" s="1431"/>
      <c r="C18" s="1431"/>
      <c r="D18" s="1431"/>
      <c r="E18" s="1431"/>
      <c r="F18" s="1431"/>
      <c r="G18" s="1431"/>
      <c r="H18" s="1431"/>
      <c r="I18" s="1421"/>
      <c r="J18" s="1421"/>
      <c r="K18" s="410"/>
    </row>
    <row r="19" spans="1:11" ht="15" x14ac:dyDescent="0.25">
      <c r="A19" s="409"/>
      <c r="B19" s="410"/>
      <c r="C19" s="410"/>
      <c r="D19" s="410"/>
      <c r="E19" s="410"/>
      <c r="F19" s="410"/>
      <c r="G19" s="410"/>
      <c r="H19" s="410"/>
      <c r="I19" s="410"/>
      <c r="J19" s="410"/>
      <c r="K19" s="410"/>
    </row>
    <row r="20" spans="1:11" ht="21" customHeight="1" x14ac:dyDescent="0.25">
      <c r="A20" s="409"/>
      <c r="B20" s="964" t="s">
        <v>1456</v>
      </c>
      <c r="C20" s="410"/>
      <c r="D20" s="410"/>
      <c r="E20" s="410"/>
      <c r="F20" s="410"/>
      <c r="G20" s="410"/>
      <c r="H20" s="410"/>
      <c r="I20" s="410"/>
      <c r="J20" s="410"/>
      <c r="K20" s="410"/>
    </row>
    <row r="21" spans="1:11" ht="18" customHeight="1" x14ac:dyDescent="0.25">
      <c r="A21" s="409"/>
      <c r="B21" s="1431" t="s">
        <v>1483</v>
      </c>
      <c r="C21" s="1431"/>
      <c r="D21" s="1431"/>
      <c r="E21" s="1431"/>
      <c r="F21" s="1431"/>
      <c r="G21" s="1431"/>
      <c r="H21" s="1431"/>
      <c r="I21" s="1421" t="s">
        <v>236</v>
      </c>
      <c r="J21" s="1421"/>
      <c r="K21" s="410"/>
    </row>
    <row r="22" spans="1:11" ht="15" x14ac:dyDescent="0.25">
      <c r="A22" s="409"/>
      <c r="B22" s="410"/>
      <c r="C22" s="410"/>
      <c r="D22" s="410"/>
      <c r="E22" s="410"/>
      <c r="F22" s="410"/>
      <c r="G22" s="410"/>
      <c r="H22" s="410"/>
      <c r="I22" s="410"/>
      <c r="J22" s="410"/>
      <c r="K22" s="410"/>
    </row>
    <row r="23" spans="1:11" ht="21" customHeight="1" x14ac:dyDescent="0.25">
      <c r="A23" s="409"/>
      <c r="B23" s="964" t="s">
        <v>1640</v>
      </c>
      <c r="C23" s="410"/>
      <c r="D23" s="410"/>
      <c r="E23" s="410"/>
      <c r="F23" s="410"/>
      <c r="G23" s="410"/>
      <c r="H23" s="410"/>
      <c r="I23" s="410"/>
      <c r="J23" s="410"/>
      <c r="K23" s="410"/>
    </row>
    <row r="24" spans="1:11" ht="18" customHeight="1" x14ac:dyDescent="0.25">
      <c r="A24" s="409"/>
      <c r="B24" s="989" t="s">
        <v>1986</v>
      </c>
      <c r="C24" s="410"/>
      <c r="D24" s="410"/>
      <c r="E24" s="410"/>
      <c r="F24" s="410"/>
      <c r="G24" s="410"/>
      <c r="H24" s="410"/>
      <c r="I24" s="410"/>
      <c r="J24" s="410"/>
      <c r="K24" s="410"/>
    </row>
    <row r="25" spans="1:11" ht="18" customHeight="1" x14ac:dyDescent="0.25">
      <c r="A25" s="409"/>
      <c r="B25" s="1425" t="s">
        <v>1987</v>
      </c>
      <c r="C25" s="1425"/>
      <c r="D25" s="1425"/>
      <c r="E25" s="1425"/>
      <c r="F25" s="1425"/>
      <c r="G25" s="1425"/>
      <c r="H25" s="1425"/>
      <c r="I25" s="1421" t="s">
        <v>236</v>
      </c>
      <c r="J25" s="1421"/>
      <c r="K25" s="410"/>
    </row>
    <row r="26" spans="1:11" ht="12" customHeight="1" x14ac:dyDescent="0.25">
      <c r="A26" s="409"/>
      <c r="B26" s="410"/>
      <c r="C26" s="410"/>
      <c r="D26" s="410"/>
      <c r="E26" s="410"/>
      <c r="F26" s="410"/>
      <c r="G26" s="410"/>
      <c r="H26" s="410"/>
      <c r="I26" s="410"/>
      <c r="J26" s="410"/>
      <c r="K26" s="410"/>
    </row>
    <row r="27" spans="1:11" ht="21.75" customHeight="1" x14ac:dyDescent="0.25">
      <c r="A27" s="409"/>
      <c r="B27" s="1426" t="s">
        <v>1988</v>
      </c>
      <c r="C27" s="1427"/>
      <c r="D27" s="1427"/>
      <c r="E27" s="1427"/>
      <c r="F27" s="1427"/>
      <c r="G27" s="1427"/>
      <c r="H27" s="1428"/>
      <c r="I27" s="1429" t="str">
        <f>IF(COUNTIF(I28:J32,"Not Installed")&gt;=2,"Eligibility Rule met","Eligibility Rule not met")</f>
        <v>Eligibility Rule not met</v>
      </c>
      <c r="J27" s="1429"/>
      <c r="K27" s="410"/>
    </row>
    <row r="28" spans="1:11" ht="18" customHeight="1" x14ac:dyDescent="0.25">
      <c r="A28" s="409"/>
      <c r="B28" s="1424" t="s">
        <v>1842</v>
      </c>
      <c r="C28" s="1424"/>
      <c r="D28" s="1424"/>
      <c r="E28" s="1424"/>
      <c r="F28" s="1424"/>
      <c r="G28" s="1424"/>
      <c r="H28" s="1424"/>
      <c r="I28" s="1421" t="s">
        <v>236</v>
      </c>
      <c r="J28" s="1421"/>
      <c r="K28" s="410"/>
    </row>
    <row r="29" spans="1:11" ht="18" customHeight="1" x14ac:dyDescent="0.25">
      <c r="A29" s="409"/>
      <c r="B29" s="1424" t="s">
        <v>1843</v>
      </c>
      <c r="C29" s="1424"/>
      <c r="D29" s="1424"/>
      <c r="E29" s="1424"/>
      <c r="F29" s="1424"/>
      <c r="G29" s="1424"/>
      <c r="H29" s="1424"/>
      <c r="I29" s="1421" t="s">
        <v>236</v>
      </c>
      <c r="J29" s="1421"/>
      <c r="K29" s="410"/>
    </row>
    <row r="30" spans="1:11" ht="18" customHeight="1" x14ac:dyDescent="0.25">
      <c r="A30" s="409"/>
      <c r="B30" s="1424" t="s">
        <v>1844</v>
      </c>
      <c r="C30" s="1424"/>
      <c r="D30" s="1424"/>
      <c r="E30" s="1424"/>
      <c r="F30" s="1424"/>
      <c r="G30" s="1424"/>
      <c r="H30" s="1424"/>
      <c r="I30" s="1421" t="s">
        <v>236</v>
      </c>
      <c r="J30" s="1421"/>
      <c r="K30" s="410"/>
    </row>
    <row r="31" spans="1:11" ht="18" customHeight="1" x14ac:dyDescent="0.25">
      <c r="A31" s="409"/>
      <c r="B31" s="1424" t="s">
        <v>1845</v>
      </c>
      <c r="C31" s="1424"/>
      <c r="D31" s="1424"/>
      <c r="E31" s="1424"/>
      <c r="F31" s="1424"/>
      <c r="G31" s="1424"/>
      <c r="H31" s="1424"/>
      <c r="I31" s="1421" t="s">
        <v>236</v>
      </c>
      <c r="J31" s="1421"/>
      <c r="K31" s="410"/>
    </row>
    <row r="32" spans="1:11" ht="18" customHeight="1" x14ac:dyDescent="0.25">
      <c r="A32" s="409"/>
      <c r="B32" s="1420" t="s">
        <v>1846</v>
      </c>
      <c r="C32" s="1420"/>
      <c r="D32" s="1420"/>
      <c r="E32" s="1420"/>
      <c r="F32" s="1420"/>
      <c r="G32" s="1420"/>
      <c r="H32" s="1420"/>
      <c r="I32" s="1421" t="s">
        <v>236</v>
      </c>
      <c r="J32" s="1421"/>
      <c r="K32" s="410"/>
    </row>
    <row r="33" spans="1:11" ht="21.75" customHeight="1" x14ac:dyDescent="0.25">
      <c r="A33" s="409"/>
      <c r="B33" s="410"/>
      <c r="C33" s="410"/>
      <c r="D33" s="410"/>
      <c r="E33" s="410"/>
      <c r="F33" s="410"/>
      <c r="G33" s="410"/>
      <c r="H33" s="410"/>
      <c r="I33" s="410"/>
      <c r="J33" s="410"/>
      <c r="K33" s="410"/>
    </row>
    <row r="34" spans="1:11" ht="15" hidden="1" x14ac:dyDescent="0.25">
      <c r="A34" s="409"/>
      <c r="B34" s="410"/>
      <c r="C34" s="410"/>
      <c r="D34" s="410"/>
      <c r="E34" s="410"/>
      <c r="F34" s="410"/>
      <c r="G34" s="410"/>
      <c r="H34" s="410"/>
      <c r="I34" s="410"/>
      <c r="J34" s="410"/>
      <c r="K34" s="410"/>
    </row>
    <row r="35" spans="1:11" ht="15" hidden="1" x14ac:dyDescent="0.25">
      <c r="A35" s="409"/>
      <c r="B35" s="410"/>
      <c r="C35" s="410"/>
      <c r="D35" s="410"/>
      <c r="E35" s="410"/>
      <c r="F35" s="410"/>
      <c r="G35" s="410"/>
      <c r="H35" s="410"/>
      <c r="I35" s="410"/>
      <c r="J35" s="410"/>
      <c r="K35" s="410"/>
    </row>
    <row r="36" spans="1:11" ht="15" hidden="1" x14ac:dyDescent="0.25">
      <c r="A36" s="213"/>
      <c r="B36" s="360"/>
      <c r="C36" s="360"/>
      <c r="D36" s="360"/>
      <c r="E36" s="360"/>
      <c r="F36" s="360"/>
      <c r="G36" s="360"/>
      <c r="H36" s="360"/>
      <c r="I36" s="360"/>
      <c r="J36" s="360"/>
      <c r="K36" s="360"/>
    </row>
    <row r="37" spans="1:11" ht="15" hidden="1" x14ac:dyDescent="0.25">
      <c r="A37" s="213"/>
      <c r="B37" s="360"/>
      <c r="C37" s="360"/>
      <c r="D37" s="360"/>
      <c r="E37" s="360"/>
      <c r="F37" s="360"/>
      <c r="G37" s="360"/>
      <c r="H37" s="360"/>
      <c r="I37" s="360"/>
      <c r="J37" s="360"/>
      <c r="K37" s="360"/>
    </row>
    <row r="38" spans="1:11" ht="15" hidden="1" x14ac:dyDescent="0.25">
      <c r="A38" s="213"/>
      <c r="B38" s="360"/>
      <c r="C38" s="360"/>
      <c r="D38" s="360"/>
      <c r="E38" s="360"/>
      <c r="F38" s="360"/>
      <c r="G38" s="360"/>
      <c r="H38" s="360"/>
      <c r="I38" s="360"/>
      <c r="J38" s="360"/>
      <c r="K38" s="360"/>
    </row>
    <row r="39" spans="1:11" ht="15" hidden="1" x14ac:dyDescent="0.25">
      <c r="A39" s="213"/>
      <c r="B39" s="360"/>
      <c r="C39" s="360"/>
      <c r="D39" s="360"/>
      <c r="E39" s="360"/>
      <c r="F39" s="360"/>
      <c r="G39" s="360"/>
      <c r="H39" s="360"/>
      <c r="I39" s="360"/>
      <c r="J39" s="360"/>
      <c r="K39" s="360"/>
    </row>
    <row r="40" spans="1:11" ht="15" hidden="1" x14ac:dyDescent="0.25"/>
    <row r="41" spans="1:11" ht="14.25" hidden="1" customHeight="1" x14ac:dyDescent="0.25"/>
    <row r="42" spans="1:11" ht="14.25" hidden="1" customHeight="1" x14ac:dyDescent="0.25"/>
    <row r="43" spans="1:11" ht="14.25" hidden="1" customHeight="1" x14ac:dyDescent="0.25"/>
    <row r="44" spans="1:11" ht="14.25" hidden="1" customHeight="1" x14ac:dyDescent="0.25"/>
    <row r="45" spans="1:11" ht="14.25" hidden="1" customHeight="1" x14ac:dyDescent="0.25"/>
    <row r="46" spans="1:11" ht="14.25" hidden="1" customHeight="1" x14ac:dyDescent="0.25"/>
    <row r="47" spans="1:11" ht="14.25" hidden="1" customHeight="1" x14ac:dyDescent="0.25"/>
    <row r="48" spans="1:11" ht="14.25" hidden="1" customHeight="1" x14ac:dyDescent="0.25"/>
    <row r="49" ht="14.25" hidden="1" customHeight="1" x14ac:dyDescent="0.25"/>
    <row r="50" ht="14.25" hidden="1" customHeight="1" x14ac:dyDescent="0.25"/>
    <row r="51" ht="14.25" hidden="1" customHeight="1" x14ac:dyDescent="0.25"/>
    <row r="52" ht="14.25" hidden="1" customHeight="1" x14ac:dyDescent="0.25"/>
    <row r="53" ht="14.25" hidden="1" customHeight="1" x14ac:dyDescent="0.25"/>
    <row r="54" ht="14.25" hidden="1" customHeight="1" x14ac:dyDescent="0.25"/>
    <row r="55" ht="14.25" hidden="1" customHeight="1" x14ac:dyDescent="0.25"/>
    <row r="56" ht="14.25" hidden="1" customHeight="1" x14ac:dyDescent="0.25"/>
    <row r="57" ht="14.25" hidden="1" customHeight="1" x14ac:dyDescent="0.25"/>
    <row r="58" ht="14.25" hidden="1" customHeight="1" x14ac:dyDescent="0.25"/>
    <row r="59" ht="14.25" hidden="1" customHeight="1" x14ac:dyDescent="0.25"/>
    <row r="60" ht="14.25" hidden="1" customHeight="1" x14ac:dyDescent="0.25"/>
    <row r="61" ht="14.25" hidden="1" customHeight="1" x14ac:dyDescent="0.25"/>
    <row r="62" ht="14.25" hidden="1" customHeight="1" x14ac:dyDescent="0.25"/>
    <row r="63" ht="14.25" hidden="1" customHeight="1" x14ac:dyDescent="0.25"/>
    <row r="64" ht="14.25" hidden="1" customHeight="1" x14ac:dyDescent="0.25"/>
    <row r="65" ht="14.25" hidden="1" customHeight="1" x14ac:dyDescent="0.25"/>
    <row r="66" ht="14.25" hidden="1" customHeight="1" x14ac:dyDescent="0.25"/>
    <row r="67" ht="14.25" hidden="1" customHeight="1" x14ac:dyDescent="0.25"/>
    <row r="68" ht="14.25" hidden="1" customHeight="1" x14ac:dyDescent="0.25"/>
    <row r="69" ht="14.25" hidden="1" customHeight="1" x14ac:dyDescent="0.25"/>
    <row r="70" ht="14.25" hidden="1" customHeight="1" x14ac:dyDescent="0.25"/>
    <row r="71" ht="14.25" hidden="1" customHeight="1" x14ac:dyDescent="0.25"/>
    <row r="72" ht="14.25" hidden="1" customHeight="1" x14ac:dyDescent="0.25"/>
    <row r="73" ht="14.25" hidden="1" customHeight="1" x14ac:dyDescent="0.25"/>
    <row r="74" ht="14.25" hidden="1" customHeight="1" x14ac:dyDescent="0.25"/>
    <row r="75" ht="14.25" hidden="1" customHeight="1" x14ac:dyDescent="0.25"/>
    <row r="76" ht="14.25" hidden="1" customHeight="1" x14ac:dyDescent="0.25"/>
    <row r="77" ht="14.25" hidden="1" customHeight="1" x14ac:dyDescent="0.25"/>
    <row r="78" ht="14.25" hidden="1" customHeight="1" x14ac:dyDescent="0.25"/>
    <row r="79" ht="14.25" hidden="1" customHeight="1" x14ac:dyDescent="0.25"/>
    <row r="80" ht="14.25" hidden="1" customHeight="1" x14ac:dyDescent="0.25"/>
    <row r="81" ht="14.25" hidden="1" customHeight="1" x14ac:dyDescent="0.25"/>
    <row r="82" ht="14.25" hidden="1" customHeight="1" x14ac:dyDescent="0.25"/>
    <row r="83" ht="14.25" hidden="1" customHeight="1" x14ac:dyDescent="0.25"/>
    <row r="84" ht="14.25" hidden="1" customHeight="1" x14ac:dyDescent="0.25"/>
    <row r="85" ht="14.25" hidden="1" customHeight="1" x14ac:dyDescent="0.25"/>
    <row r="86" ht="14.25" hidden="1" customHeight="1" x14ac:dyDescent="0.25"/>
    <row r="87" ht="14.25" hidden="1" customHeight="1" x14ac:dyDescent="0.25"/>
    <row r="88" ht="14.25" hidden="1" customHeight="1" x14ac:dyDescent="0.25"/>
    <row r="89" ht="14.25" hidden="1" customHeight="1" x14ac:dyDescent="0.25"/>
    <row r="90" ht="14.25" hidden="1" customHeight="1" x14ac:dyDescent="0.25"/>
    <row r="91" ht="14.25" hidden="1" customHeight="1" x14ac:dyDescent="0.25"/>
  </sheetData>
  <sheetProtection algorithmName="SHA-512" hashValue="48WYhyKxqLumUgfUA0oC8lXRhCzwAO1MZd/S9Zye2LEun1gBdvq0Vl3Uhj3Dv5eTvCjgcuFBfbv3YW+4BeD4wg==" saltValue="9Qcp8sw2atC6Gc7l3nkfYA==" spinCount="100000" sheet="1" objects="1" scenarios="1" formatRows="0"/>
  <dataConsolidate/>
  <mergeCells count="27">
    <mergeCell ref="A1:K1"/>
    <mergeCell ref="I21:J21"/>
    <mergeCell ref="I10:J11"/>
    <mergeCell ref="B14:H14"/>
    <mergeCell ref="I14:J14"/>
    <mergeCell ref="B17:H18"/>
    <mergeCell ref="I17:J18"/>
    <mergeCell ref="B10:H11"/>
    <mergeCell ref="B21:H21"/>
    <mergeCell ref="B6:H7"/>
    <mergeCell ref="I6:J7"/>
    <mergeCell ref="B32:H32"/>
    <mergeCell ref="I32:J32"/>
    <mergeCell ref="A2:G3"/>
    <mergeCell ref="I2:J3"/>
    <mergeCell ref="B31:H31"/>
    <mergeCell ref="I31:J31"/>
    <mergeCell ref="B29:H29"/>
    <mergeCell ref="I29:J29"/>
    <mergeCell ref="B30:H30"/>
    <mergeCell ref="I30:J30"/>
    <mergeCell ref="B25:H25"/>
    <mergeCell ref="I25:J25"/>
    <mergeCell ref="I28:J28"/>
    <mergeCell ref="B28:H28"/>
    <mergeCell ref="B27:H27"/>
    <mergeCell ref="I27:J27"/>
  </mergeCells>
  <dataValidations count="2">
    <dataValidation type="list" allowBlank="1" showInputMessage="1" showErrorMessage="1" sqref="I10:J11 I21:J21 I6:J7 I25:J25 I17:J18 I14:J14" xr:uid="{00000000-0002-0000-0600-000000000000}">
      <formula1>"Please confirm,Eligibility Rule met,Eligibility Rule not met"</formula1>
    </dataValidation>
    <dataValidation type="list" allowBlank="1" showInputMessage="1" showErrorMessage="1" sqref="I28:J32" xr:uid="{00000000-0002-0000-0600-000001000000}">
      <formula1>"Please confirm,Installed, Not installed"</formula1>
    </dataValidation>
  </dataValidation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A1:L100"/>
  <sheetViews>
    <sheetView showRowColHeaders="0" zoomScaleNormal="100" workbookViewId="0">
      <pane ySplit="3" topLeftCell="A4" activePane="bottomLeft" state="frozen"/>
      <selection pane="bottomLeft" activeCell="G72" sqref="G72"/>
    </sheetView>
  </sheetViews>
  <sheetFormatPr defaultColWidth="0" defaultRowHeight="15" customHeight="1" zeroHeight="1" x14ac:dyDescent="0.25"/>
  <cols>
    <col min="1" max="1" width="4.7109375" style="35" customWidth="1"/>
    <col min="2" max="3" width="16.7109375" style="35" customWidth="1"/>
    <col min="4" max="4" width="14" style="35" customWidth="1"/>
    <col min="5" max="6" width="7.42578125" style="35" customWidth="1"/>
    <col min="7" max="7" width="14" style="35" customWidth="1"/>
    <col min="8" max="8" width="4.7109375" style="35" customWidth="1"/>
    <col min="9" max="10" width="9.140625" style="35" hidden="1" customWidth="1"/>
    <col min="11" max="12" width="0" style="35" hidden="1" customWidth="1"/>
    <col min="13" max="16384" width="9.140625" style="35" hidden="1"/>
  </cols>
  <sheetData>
    <row r="1" spans="1:10" ht="36" customHeight="1" x14ac:dyDescent="0.5">
      <c r="A1" s="1436" t="s">
        <v>1058</v>
      </c>
      <c r="B1" s="1436"/>
      <c r="C1" s="1436"/>
      <c r="D1" s="1436"/>
      <c r="E1" s="1436"/>
      <c r="F1" s="1436"/>
      <c r="G1" s="705"/>
      <c r="H1" s="34"/>
      <c r="I1" s="34"/>
      <c r="J1" s="34"/>
    </row>
    <row r="2" spans="1:10" ht="30" customHeight="1" x14ac:dyDescent="0.25">
      <c r="A2" s="706"/>
      <c r="B2" s="34"/>
      <c r="C2" s="34"/>
      <c r="D2" s="34"/>
      <c r="E2" s="34"/>
      <c r="F2" s="34"/>
      <c r="G2" s="34"/>
      <c r="H2" s="34"/>
      <c r="I2" s="34"/>
      <c r="J2" s="34"/>
    </row>
    <row r="3" spans="1:10" ht="31.5" customHeight="1" x14ac:dyDescent="0.25">
      <c r="A3" s="1437" t="s">
        <v>1494</v>
      </c>
      <c r="B3" s="1437"/>
      <c r="C3" s="1437"/>
      <c r="D3" s="1437"/>
      <c r="E3" s="1437"/>
      <c r="F3" s="1437"/>
      <c r="G3" s="34"/>
      <c r="H3" s="34"/>
      <c r="I3" s="34"/>
      <c r="J3" s="34"/>
    </row>
    <row r="4" spans="1:10" ht="27" customHeight="1" thickBot="1" x14ac:dyDescent="0.3">
      <c r="A4" s="34"/>
      <c r="B4" s="34"/>
      <c r="C4" s="34"/>
      <c r="D4" s="34"/>
      <c r="E4" s="34"/>
      <c r="F4" s="34"/>
      <c r="G4" s="34"/>
      <c r="H4" s="34"/>
      <c r="I4" s="34"/>
      <c r="J4" s="34"/>
    </row>
    <row r="5" spans="1:10" ht="27" customHeight="1" thickBot="1" x14ac:dyDescent="0.3">
      <c r="A5" s="34"/>
      <c r="B5" s="1438" t="s">
        <v>1059</v>
      </c>
      <c r="C5" s="1439"/>
      <c r="D5" s="1439"/>
      <c r="E5" s="1439"/>
      <c r="F5" s="1439"/>
      <c r="G5" s="1440"/>
      <c r="H5" s="34"/>
      <c r="I5" s="34"/>
      <c r="J5" s="34"/>
    </row>
    <row r="6" spans="1:10" ht="27" customHeight="1" x14ac:dyDescent="0.25">
      <c r="A6" s="34"/>
      <c r="B6" s="1441" t="s">
        <v>1060</v>
      </c>
      <c r="C6" s="1442"/>
      <c r="D6" s="1443"/>
      <c r="E6" s="1443"/>
      <c r="F6" s="1443"/>
      <c r="G6" s="1444"/>
      <c r="H6" s="34"/>
      <c r="I6" s="34"/>
      <c r="J6" s="34"/>
    </row>
    <row r="7" spans="1:10" ht="36" customHeight="1" x14ac:dyDescent="0.25">
      <c r="A7" s="34"/>
      <c r="B7" s="1432" t="s">
        <v>1061</v>
      </c>
      <c r="C7" s="1433"/>
      <c r="D7" s="1434"/>
      <c r="E7" s="1434"/>
      <c r="F7" s="1434"/>
      <c r="G7" s="1435"/>
      <c r="H7" s="34"/>
      <c r="I7" s="34"/>
      <c r="J7" s="34"/>
    </row>
    <row r="8" spans="1:10" ht="27" customHeight="1" x14ac:dyDescent="0.25">
      <c r="A8" s="34"/>
      <c r="B8" s="1450" t="s">
        <v>632</v>
      </c>
      <c r="C8" s="1460"/>
      <c r="D8" s="1461"/>
      <c r="E8" s="1462"/>
      <c r="F8" s="1462"/>
      <c r="G8" s="1463"/>
      <c r="H8" s="34"/>
      <c r="I8" s="34"/>
      <c r="J8" s="34"/>
    </row>
    <row r="9" spans="1:10" ht="24" customHeight="1" x14ac:dyDescent="0.25">
      <c r="A9" s="34"/>
      <c r="B9" s="1464" t="s">
        <v>1062</v>
      </c>
      <c r="C9" s="1465"/>
      <c r="D9" s="1466"/>
      <c r="E9" s="1467"/>
      <c r="F9" s="1467"/>
      <c r="G9" s="1468"/>
      <c r="H9" s="34"/>
      <c r="I9" s="34"/>
      <c r="J9" s="34"/>
    </row>
    <row r="10" spans="1:10" ht="24" customHeight="1" x14ac:dyDescent="0.25">
      <c r="A10" s="34"/>
      <c r="B10" s="1445"/>
      <c r="C10" s="1446"/>
      <c r="D10" s="1469"/>
      <c r="E10" s="1470"/>
      <c r="F10" s="1470"/>
      <c r="G10" s="1471"/>
      <c r="H10" s="34"/>
      <c r="I10" s="34"/>
      <c r="J10" s="34"/>
    </row>
    <row r="11" spans="1:10" ht="21" customHeight="1" x14ac:dyDescent="0.25">
      <c r="A11" s="34"/>
      <c r="B11" s="1464" t="s">
        <v>1063</v>
      </c>
      <c r="C11" s="1465"/>
      <c r="D11" s="1472"/>
      <c r="E11" s="1454"/>
      <c r="F11" s="1454"/>
      <c r="G11" s="1455"/>
      <c r="H11" s="34"/>
      <c r="I11" s="34"/>
      <c r="J11" s="34"/>
    </row>
    <row r="12" spans="1:10" ht="21" customHeight="1" x14ac:dyDescent="0.25">
      <c r="A12" s="34"/>
      <c r="B12" s="1445"/>
      <c r="C12" s="1446"/>
      <c r="D12" s="1473"/>
      <c r="E12" s="1458"/>
      <c r="F12" s="1458"/>
      <c r="G12" s="1459"/>
      <c r="H12" s="34"/>
      <c r="I12" s="34"/>
      <c r="J12" s="34"/>
    </row>
    <row r="13" spans="1:10" ht="27" customHeight="1" x14ac:dyDescent="0.25">
      <c r="A13" s="34"/>
      <c r="B13" s="1445" t="s">
        <v>1064</v>
      </c>
      <c r="C13" s="1446"/>
      <c r="D13" s="1447"/>
      <c r="E13" s="1448"/>
      <c r="F13" s="1448"/>
      <c r="G13" s="1449"/>
      <c r="H13" s="34"/>
      <c r="I13" s="34"/>
      <c r="J13" s="34"/>
    </row>
    <row r="14" spans="1:10" ht="33" customHeight="1" x14ac:dyDescent="0.25">
      <c r="A14" s="34"/>
      <c r="B14" s="1450" t="s">
        <v>1065</v>
      </c>
      <c r="C14" s="1451"/>
      <c r="D14" s="1451"/>
      <c r="E14" s="1451"/>
      <c r="F14" s="1451"/>
      <c r="G14" s="1452"/>
      <c r="H14" s="34"/>
      <c r="I14" s="34"/>
      <c r="J14" s="34"/>
    </row>
    <row r="15" spans="1:10" x14ac:dyDescent="0.25">
      <c r="A15" s="34"/>
      <c r="B15" s="1453"/>
      <c r="C15" s="1454"/>
      <c r="D15" s="1454"/>
      <c r="E15" s="1454"/>
      <c r="F15" s="1454"/>
      <c r="G15" s="1455"/>
      <c r="H15" s="34"/>
      <c r="I15" s="34"/>
      <c r="J15" s="34"/>
    </row>
    <row r="16" spans="1:10" x14ac:dyDescent="0.25">
      <c r="A16" s="34"/>
      <c r="B16" s="1456"/>
      <c r="C16" s="1434"/>
      <c r="D16" s="1434"/>
      <c r="E16" s="1434"/>
      <c r="F16" s="1434"/>
      <c r="G16" s="1435"/>
      <c r="H16" s="34"/>
      <c r="I16" s="34"/>
      <c r="J16" s="34"/>
    </row>
    <row r="17" spans="1:10" x14ac:dyDescent="0.25">
      <c r="A17" s="34"/>
      <c r="B17" s="1456"/>
      <c r="C17" s="1434"/>
      <c r="D17" s="1434"/>
      <c r="E17" s="1434"/>
      <c r="F17" s="1434"/>
      <c r="G17" s="1435"/>
      <c r="H17" s="34"/>
      <c r="I17" s="34"/>
      <c r="J17" s="34"/>
    </row>
    <row r="18" spans="1:10" x14ac:dyDescent="0.25">
      <c r="A18" s="34"/>
      <c r="B18" s="1456"/>
      <c r="C18" s="1434"/>
      <c r="D18" s="1434"/>
      <c r="E18" s="1434"/>
      <c r="F18" s="1434"/>
      <c r="G18" s="1435"/>
      <c r="H18" s="34"/>
      <c r="I18" s="34"/>
      <c r="J18" s="34"/>
    </row>
    <row r="19" spans="1:10" x14ac:dyDescent="0.25">
      <c r="A19" s="34"/>
      <c r="B19" s="1456"/>
      <c r="C19" s="1434"/>
      <c r="D19" s="1434"/>
      <c r="E19" s="1434"/>
      <c r="F19" s="1434"/>
      <c r="G19" s="1435"/>
      <c r="H19" s="34"/>
      <c r="I19" s="34"/>
      <c r="J19" s="34"/>
    </row>
    <row r="20" spans="1:10" x14ac:dyDescent="0.25">
      <c r="A20" s="34"/>
      <c r="B20" s="1456"/>
      <c r="C20" s="1434"/>
      <c r="D20" s="1434"/>
      <c r="E20" s="1434"/>
      <c r="F20" s="1434"/>
      <c r="G20" s="1435"/>
      <c r="H20" s="34"/>
      <c r="I20" s="34"/>
      <c r="J20" s="34"/>
    </row>
    <row r="21" spans="1:10" x14ac:dyDescent="0.25">
      <c r="A21" s="34"/>
      <c r="B21" s="1456"/>
      <c r="C21" s="1434"/>
      <c r="D21" s="1434"/>
      <c r="E21" s="1434"/>
      <c r="F21" s="1434"/>
      <c r="G21" s="1435"/>
      <c r="H21" s="34"/>
      <c r="I21" s="34"/>
      <c r="J21" s="34"/>
    </row>
    <row r="22" spans="1:10" x14ac:dyDescent="0.25">
      <c r="A22" s="34"/>
      <c r="B22" s="1457"/>
      <c r="C22" s="1458"/>
      <c r="D22" s="1458"/>
      <c r="E22" s="1458"/>
      <c r="F22" s="1458"/>
      <c r="G22" s="1459"/>
      <c r="H22" s="34"/>
      <c r="I22" s="34"/>
      <c r="J22" s="34"/>
    </row>
    <row r="23" spans="1:10" ht="27" customHeight="1" x14ac:dyDescent="0.25">
      <c r="A23" s="34"/>
      <c r="B23" s="1450" t="s">
        <v>1066</v>
      </c>
      <c r="C23" s="1460"/>
      <c r="D23" s="1476"/>
      <c r="E23" s="1476"/>
      <c r="F23" s="1476"/>
      <c r="G23" s="1477"/>
      <c r="H23" s="34"/>
      <c r="I23" s="34"/>
      <c r="J23" s="34"/>
    </row>
    <row r="24" spans="1:10" ht="27" customHeight="1" x14ac:dyDescent="0.25">
      <c r="A24" s="34"/>
      <c r="B24" s="1445" t="s">
        <v>1067</v>
      </c>
      <c r="C24" s="1446"/>
      <c r="D24" s="1478"/>
      <c r="E24" s="1479"/>
      <c r="F24" s="1479"/>
      <c r="G24" s="1480"/>
      <c r="H24" s="34"/>
      <c r="I24" s="34"/>
      <c r="J24" s="34"/>
    </row>
    <row r="25" spans="1:10" ht="27" customHeight="1" x14ac:dyDescent="0.25">
      <c r="A25" s="34"/>
      <c r="B25" s="1450" t="s">
        <v>1068</v>
      </c>
      <c r="C25" s="1460"/>
      <c r="D25" s="1481" t="s">
        <v>53</v>
      </c>
      <c r="E25" s="1482"/>
      <c r="F25" s="1482"/>
      <c r="G25" s="1483"/>
      <c r="H25" s="34"/>
      <c r="I25" s="34"/>
      <c r="J25" s="34"/>
    </row>
    <row r="26" spans="1:10" ht="27" customHeight="1" thickBot="1" x14ac:dyDescent="0.3">
      <c r="A26" s="34"/>
      <c r="B26" s="1464" t="s">
        <v>1069</v>
      </c>
      <c r="C26" s="1484"/>
      <c r="D26" s="1485" t="s">
        <v>53</v>
      </c>
      <c r="E26" s="1486"/>
      <c r="F26" s="1486"/>
      <c r="G26" s="1487"/>
      <c r="H26" s="34"/>
      <c r="I26" s="34"/>
      <c r="J26" s="34"/>
    </row>
    <row r="27" spans="1:10" ht="21" customHeight="1" thickBot="1" x14ac:dyDescent="0.3">
      <c r="A27" s="34"/>
      <c r="B27" s="34"/>
      <c r="C27" s="34"/>
      <c r="D27" s="34"/>
      <c r="E27" s="34"/>
      <c r="F27" s="34"/>
      <c r="G27" s="34"/>
      <c r="H27" s="34"/>
      <c r="I27" s="34"/>
      <c r="J27" s="34"/>
    </row>
    <row r="28" spans="1:10" ht="24" customHeight="1" thickBot="1" x14ac:dyDescent="0.3">
      <c r="A28" s="34"/>
      <c r="B28" s="1438" t="s">
        <v>1070</v>
      </c>
      <c r="C28" s="1439"/>
      <c r="D28" s="1439"/>
      <c r="E28" s="1439"/>
      <c r="F28" s="1439"/>
      <c r="G28" s="1440"/>
      <c r="H28" s="34"/>
      <c r="I28" s="34"/>
      <c r="J28" s="34"/>
    </row>
    <row r="29" spans="1:10" ht="21" customHeight="1" x14ac:dyDescent="0.25">
      <c r="A29" s="34"/>
      <c r="B29" s="1441" t="s">
        <v>1071</v>
      </c>
      <c r="C29" s="1488"/>
      <c r="D29" s="1489"/>
      <c r="E29" s="1443"/>
      <c r="F29" s="1443"/>
      <c r="G29" s="1444"/>
      <c r="H29" s="34"/>
      <c r="I29" s="34"/>
      <c r="J29" s="34"/>
    </row>
    <row r="30" spans="1:10" ht="33" customHeight="1" x14ac:dyDescent="0.25">
      <c r="A30" s="34"/>
      <c r="B30" s="1474" t="s">
        <v>1072</v>
      </c>
      <c r="C30" s="1474"/>
      <c r="D30" s="1475"/>
      <c r="E30" s="1475"/>
      <c r="F30" s="1475"/>
      <c r="G30" s="1475"/>
      <c r="H30" s="34"/>
      <c r="I30" s="34"/>
      <c r="J30" s="34"/>
    </row>
    <row r="31" spans="1:10" ht="21" customHeight="1" x14ac:dyDescent="0.25">
      <c r="A31" s="34"/>
      <c r="B31" s="1474" t="s">
        <v>1073</v>
      </c>
      <c r="C31" s="1474"/>
      <c r="D31" s="1491"/>
      <c r="E31" s="1491"/>
      <c r="F31" s="1491"/>
      <c r="G31" s="1491"/>
      <c r="H31" s="34"/>
      <c r="I31" s="34"/>
      <c r="J31" s="34"/>
    </row>
    <row r="32" spans="1:10" ht="21" customHeight="1" x14ac:dyDescent="0.25">
      <c r="A32" s="34"/>
      <c r="B32" s="1474" t="s">
        <v>1074</v>
      </c>
      <c r="C32" s="1474"/>
      <c r="D32" s="1491"/>
      <c r="E32" s="1491"/>
      <c r="F32" s="1491"/>
      <c r="G32" s="1491"/>
      <c r="H32" s="34"/>
      <c r="I32" s="34"/>
      <c r="J32" s="34"/>
    </row>
    <row r="33" spans="1:10" ht="21" customHeight="1" x14ac:dyDescent="0.25">
      <c r="A33" s="34"/>
      <c r="B33" s="1474" t="s">
        <v>1075</v>
      </c>
      <c r="C33" s="1474"/>
      <c r="D33" s="1491"/>
      <c r="E33" s="1491"/>
      <c r="F33" s="1491"/>
      <c r="G33" s="1491"/>
      <c r="H33" s="34"/>
      <c r="I33" s="34"/>
      <c r="J33" s="34"/>
    </row>
    <row r="34" spans="1:10" ht="13.5" customHeight="1" x14ac:dyDescent="0.25">
      <c r="A34" s="34"/>
      <c r="B34" s="34"/>
      <c r="C34" s="34"/>
      <c r="D34" s="34"/>
      <c r="E34" s="34"/>
      <c r="F34" s="34"/>
      <c r="G34" s="34"/>
      <c r="H34" s="34"/>
      <c r="I34" s="34"/>
      <c r="J34" s="34"/>
    </row>
    <row r="35" spans="1:10" ht="13.5" customHeight="1" thickBot="1" x14ac:dyDescent="0.3">
      <c r="A35" s="34"/>
      <c r="B35" s="34"/>
      <c r="C35" s="34"/>
      <c r="D35" s="34"/>
      <c r="E35" s="34"/>
      <c r="F35" s="34"/>
      <c r="G35" s="34"/>
      <c r="H35" s="34"/>
      <c r="I35" s="34"/>
      <c r="J35" s="34"/>
    </row>
    <row r="36" spans="1:10" ht="24" customHeight="1" thickBot="1" x14ac:dyDescent="0.3">
      <c r="A36" s="34"/>
      <c r="B36" s="1438" t="s">
        <v>1076</v>
      </c>
      <c r="C36" s="1439"/>
      <c r="D36" s="1439"/>
      <c r="E36" s="1439"/>
      <c r="F36" s="1439"/>
      <c r="G36" s="1440"/>
      <c r="H36" s="34"/>
      <c r="I36" s="34"/>
      <c r="J36" s="34"/>
    </row>
    <row r="37" spans="1:10" ht="21" customHeight="1" x14ac:dyDescent="0.25">
      <c r="A37" s="34"/>
      <c r="B37" s="1441" t="s">
        <v>1071</v>
      </c>
      <c r="C37" s="1488"/>
      <c r="D37" s="1492"/>
      <c r="E37" s="1493"/>
      <c r="F37" s="1493"/>
      <c r="G37" s="1494"/>
      <c r="H37" s="34"/>
      <c r="I37" s="34"/>
      <c r="J37" s="34"/>
    </row>
    <row r="38" spans="1:10" ht="21" customHeight="1" x14ac:dyDescent="0.25">
      <c r="A38" s="34"/>
      <c r="B38" s="1474" t="s">
        <v>193</v>
      </c>
      <c r="C38" s="1474"/>
      <c r="D38" s="1490"/>
      <c r="E38" s="1490"/>
      <c r="F38" s="1490"/>
      <c r="G38" s="1490"/>
      <c r="H38" s="34"/>
      <c r="I38" s="34"/>
      <c r="J38" s="34"/>
    </row>
    <row r="39" spans="1:10" ht="21" customHeight="1" x14ac:dyDescent="0.25">
      <c r="A39" s="34"/>
      <c r="B39" s="1474" t="s">
        <v>1077</v>
      </c>
      <c r="C39" s="1474"/>
      <c r="D39" s="1490"/>
      <c r="E39" s="1490"/>
      <c r="F39" s="1490"/>
      <c r="G39" s="1490"/>
      <c r="H39" s="34"/>
      <c r="I39" s="34"/>
      <c r="J39" s="34"/>
    </row>
    <row r="40" spans="1:10" ht="33" customHeight="1" x14ac:dyDescent="0.25">
      <c r="A40" s="34"/>
      <c r="B40" s="1474" t="s">
        <v>1072</v>
      </c>
      <c r="C40" s="1474"/>
      <c r="D40" s="1490"/>
      <c r="E40" s="1490"/>
      <c r="F40" s="1490"/>
      <c r="G40" s="1490"/>
      <c r="H40" s="34"/>
      <c r="I40" s="34"/>
      <c r="J40" s="34"/>
    </row>
    <row r="41" spans="1:10" ht="21" customHeight="1" x14ac:dyDescent="0.25">
      <c r="A41" s="34"/>
      <c r="B41" s="1474" t="s">
        <v>1073</v>
      </c>
      <c r="C41" s="1474"/>
      <c r="D41" s="1490"/>
      <c r="E41" s="1490"/>
      <c r="F41" s="1490"/>
      <c r="G41" s="1490"/>
      <c r="H41" s="34"/>
      <c r="I41" s="34"/>
      <c r="J41" s="34"/>
    </row>
    <row r="42" spans="1:10" ht="21" customHeight="1" x14ac:dyDescent="0.25">
      <c r="A42" s="34"/>
      <c r="B42" s="1474" t="s">
        <v>1074</v>
      </c>
      <c r="C42" s="1474"/>
      <c r="D42" s="1490"/>
      <c r="E42" s="1490"/>
      <c r="F42" s="1490"/>
      <c r="G42" s="1490"/>
      <c r="H42" s="34"/>
      <c r="I42" s="34"/>
      <c r="J42" s="34"/>
    </row>
    <row r="43" spans="1:10" ht="21" customHeight="1" x14ac:dyDescent="0.25">
      <c r="A43" s="34"/>
      <c r="B43" s="1474" t="s">
        <v>1075</v>
      </c>
      <c r="C43" s="1474"/>
      <c r="D43" s="1490"/>
      <c r="E43" s="1490"/>
      <c r="F43" s="1490"/>
      <c r="G43" s="1490"/>
      <c r="H43" s="34"/>
      <c r="I43" s="34"/>
      <c r="J43" s="34"/>
    </row>
    <row r="44" spans="1:10" ht="22.5" customHeight="1" x14ac:dyDescent="0.25">
      <c r="A44" s="34"/>
      <c r="B44" s="1496" t="s">
        <v>1099</v>
      </c>
      <c r="C44" s="1496"/>
      <c r="D44" s="1496"/>
      <c r="E44" s="1496"/>
      <c r="F44" s="1496"/>
      <c r="G44" s="1496"/>
      <c r="H44" s="34"/>
      <c r="I44" s="34"/>
      <c r="J44" s="34"/>
    </row>
    <row r="45" spans="1:10" ht="22.5" customHeight="1" x14ac:dyDescent="0.25">
      <c r="A45" s="34"/>
      <c r="B45" s="1496"/>
      <c r="C45" s="1496"/>
      <c r="D45" s="1496"/>
      <c r="E45" s="1496"/>
      <c r="F45" s="1496"/>
      <c r="G45" s="1496"/>
      <c r="H45" s="34"/>
      <c r="I45" s="34"/>
      <c r="J45" s="34"/>
    </row>
    <row r="46" spans="1:10" ht="13.5" customHeight="1" x14ac:dyDescent="0.25">
      <c r="A46" s="34"/>
      <c r="B46" s="34"/>
      <c r="C46" s="34"/>
      <c r="D46" s="34"/>
      <c r="E46" s="34"/>
      <c r="F46" s="34"/>
      <c r="G46" s="34"/>
      <c r="H46" s="34"/>
      <c r="I46" s="34"/>
      <c r="J46" s="34"/>
    </row>
    <row r="47" spans="1:10" ht="13.5" customHeight="1" thickBot="1" x14ac:dyDescent="0.3">
      <c r="A47" s="34"/>
      <c r="B47" s="34"/>
      <c r="C47" s="34"/>
      <c r="D47" s="34"/>
      <c r="E47" s="34"/>
      <c r="F47" s="34"/>
      <c r="G47" s="34"/>
      <c r="H47" s="34"/>
      <c r="I47" s="34"/>
      <c r="J47" s="34"/>
    </row>
    <row r="48" spans="1:10" ht="24" customHeight="1" thickBot="1" x14ac:dyDescent="0.3">
      <c r="A48" s="34"/>
      <c r="B48" s="1438" t="s">
        <v>1078</v>
      </c>
      <c r="C48" s="1439"/>
      <c r="D48" s="1439"/>
      <c r="E48" s="1439"/>
      <c r="F48" s="1439"/>
      <c r="G48" s="1440"/>
      <c r="H48" s="34"/>
      <c r="I48" s="34"/>
      <c r="J48" s="34"/>
    </row>
    <row r="49" spans="1:10" ht="30" customHeight="1" x14ac:dyDescent="0.25">
      <c r="A49" s="34"/>
      <c r="B49" s="1497" t="s">
        <v>1079</v>
      </c>
      <c r="C49" s="1498"/>
      <c r="D49" s="1498"/>
      <c r="E49" s="1498"/>
      <c r="F49" s="1498"/>
      <c r="G49" s="1499"/>
      <c r="H49" s="34"/>
      <c r="I49" s="34"/>
      <c r="J49" s="34"/>
    </row>
    <row r="50" spans="1:10" ht="30" customHeight="1" x14ac:dyDescent="0.25">
      <c r="A50" s="34"/>
      <c r="B50" s="1500" t="s">
        <v>1080</v>
      </c>
      <c r="C50" s="1500"/>
      <c r="D50" s="1500"/>
      <c r="E50" s="1500"/>
      <c r="F50" s="1500"/>
      <c r="G50" s="707" t="s">
        <v>53</v>
      </c>
      <c r="H50" s="34"/>
      <c r="I50" s="34"/>
      <c r="J50" s="34"/>
    </row>
    <row r="51" spans="1:10" ht="62.25" customHeight="1" x14ac:dyDescent="0.25">
      <c r="A51" s="34"/>
      <c r="B51" s="1500" t="s">
        <v>1081</v>
      </c>
      <c r="C51" s="1500"/>
      <c r="D51" s="1500"/>
      <c r="E51" s="1500"/>
      <c r="F51" s="1500"/>
      <c r="G51" s="707" t="s">
        <v>53</v>
      </c>
      <c r="H51" s="34"/>
      <c r="I51" s="34"/>
      <c r="J51" s="34"/>
    </row>
    <row r="52" spans="1:10" ht="60" customHeight="1" x14ac:dyDescent="0.25">
      <c r="A52" s="34"/>
      <c r="B52" s="1500" t="s">
        <v>1082</v>
      </c>
      <c r="C52" s="1500"/>
      <c r="D52" s="1500"/>
      <c r="E52" s="1500"/>
      <c r="F52" s="1500"/>
      <c r="G52" s="707" t="s">
        <v>53</v>
      </c>
      <c r="H52" s="34"/>
      <c r="I52" s="34"/>
      <c r="J52" s="34"/>
    </row>
    <row r="53" spans="1:10" ht="13.5" customHeight="1" x14ac:dyDescent="0.25">
      <c r="A53" s="34"/>
      <c r="B53" s="34"/>
      <c r="C53" s="34"/>
      <c r="D53" s="34"/>
      <c r="E53" s="34"/>
      <c r="F53" s="34"/>
      <c r="G53" s="34"/>
      <c r="H53" s="34"/>
      <c r="I53" s="34"/>
      <c r="J53" s="34"/>
    </row>
    <row r="54" spans="1:10" ht="13.5" customHeight="1" thickBot="1" x14ac:dyDescent="0.3">
      <c r="A54" s="34"/>
      <c r="B54" s="34"/>
      <c r="C54" s="34"/>
      <c r="D54" s="34"/>
      <c r="E54" s="34"/>
      <c r="F54" s="34"/>
      <c r="G54" s="34"/>
      <c r="H54" s="34"/>
      <c r="I54" s="34"/>
      <c r="J54" s="34"/>
    </row>
    <row r="55" spans="1:10" ht="24" customHeight="1" thickBot="1" x14ac:dyDescent="0.3">
      <c r="A55" s="34"/>
      <c r="B55" s="1438" t="s">
        <v>1083</v>
      </c>
      <c r="C55" s="1439"/>
      <c r="D55" s="1439"/>
      <c r="E55" s="1439"/>
      <c r="F55" s="1439"/>
      <c r="G55" s="1440"/>
      <c r="H55" s="34"/>
      <c r="I55" s="34"/>
      <c r="J55" s="34"/>
    </row>
    <row r="56" spans="1:10" ht="29.25" customHeight="1" x14ac:dyDescent="0.25">
      <c r="A56" s="34"/>
      <c r="B56" s="1441" t="s">
        <v>1084</v>
      </c>
      <c r="C56" s="1488"/>
      <c r="D56" s="1501" t="s">
        <v>1085</v>
      </c>
      <c r="E56" s="1502"/>
      <c r="F56" s="1502"/>
      <c r="G56" s="1503"/>
      <c r="H56" s="708"/>
      <c r="I56" s="34"/>
      <c r="J56" s="34"/>
    </row>
    <row r="57" spans="1:10" x14ac:dyDescent="0.25">
      <c r="A57" s="34"/>
      <c r="B57" s="1490"/>
      <c r="C57" s="1490"/>
      <c r="D57" s="1495"/>
      <c r="E57" s="1495"/>
      <c r="F57" s="1495"/>
      <c r="G57" s="1495"/>
      <c r="H57" s="34"/>
      <c r="I57" s="34"/>
      <c r="J57" s="34"/>
    </row>
    <row r="58" spans="1:10" x14ac:dyDescent="0.25">
      <c r="A58" s="34"/>
      <c r="B58" s="1490"/>
      <c r="C58" s="1490"/>
      <c r="D58" s="1495"/>
      <c r="E58" s="1495"/>
      <c r="F58" s="1495"/>
      <c r="G58" s="1495"/>
      <c r="H58" s="34"/>
      <c r="I58" s="34"/>
      <c r="J58" s="34"/>
    </row>
    <row r="59" spans="1:10" x14ac:dyDescent="0.25">
      <c r="A59" s="34"/>
      <c r="B59" s="1490"/>
      <c r="C59" s="1490"/>
      <c r="D59" s="1495"/>
      <c r="E59" s="1495"/>
      <c r="F59" s="1495"/>
      <c r="G59" s="1495"/>
      <c r="H59" s="34"/>
      <c r="I59" s="34"/>
      <c r="J59" s="34"/>
    </row>
    <row r="60" spans="1:10" x14ac:dyDescent="0.25">
      <c r="A60" s="34"/>
      <c r="B60" s="1490"/>
      <c r="C60" s="1490"/>
      <c r="D60" s="1495"/>
      <c r="E60" s="1495"/>
      <c r="F60" s="1495"/>
      <c r="G60" s="1495"/>
      <c r="H60" s="34"/>
      <c r="I60" s="34"/>
      <c r="J60" s="34"/>
    </row>
    <row r="61" spans="1:10" ht="21" customHeight="1" x14ac:dyDescent="0.25">
      <c r="A61" s="34"/>
      <c r="B61" s="1474" t="s">
        <v>1086</v>
      </c>
      <c r="C61" s="1474"/>
      <c r="D61" s="1491"/>
      <c r="E61" s="1491"/>
      <c r="F61" s="1491"/>
      <c r="G61" s="1491"/>
      <c r="H61" s="34"/>
      <c r="I61" s="34"/>
      <c r="J61" s="34"/>
    </row>
    <row r="62" spans="1:10" ht="21" customHeight="1" x14ac:dyDescent="0.25">
      <c r="A62" s="34"/>
      <c r="B62" s="1474" t="s">
        <v>1071</v>
      </c>
      <c r="C62" s="1474"/>
      <c r="D62" s="1491"/>
      <c r="E62" s="1491"/>
      <c r="F62" s="1491"/>
      <c r="G62" s="1491"/>
      <c r="H62" s="34"/>
      <c r="I62" s="34"/>
      <c r="J62" s="34"/>
    </row>
    <row r="63" spans="1:10" ht="21" customHeight="1" x14ac:dyDescent="0.25">
      <c r="A63" s="34"/>
      <c r="B63" s="1474" t="s">
        <v>193</v>
      </c>
      <c r="C63" s="1474"/>
      <c r="D63" s="1491"/>
      <c r="E63" s="1491"/>
      <c r="F63" s="1491"/>
      <c r="G63" s="1491"/>
      <c r="H63" s="34"/>
      <c r="I63" s="34"/>
      <c r="J63" s="34"/>
    </row>
    <row r="64" spans="1:10" ht="21" customHeight="1" x14ac:dyDescent="0.25">
      <c r="A64" s="34"/>
      <c r="B64" s="1474" t="s">
        <v>1087</v>
      </c>
      <c r="C64" s="1474"/>
      <c r="D64" s="1491"/>
      <c r="E64" s="1491"/>
      <c r="F64" s="1491"/>
      <c r="G64" s="1491"/>
      <c r="H64" s="34"/>
      <c r="I64" s="34"/>
      <c r="J64" s="34"/>
    </row>
    <row r="65" spans="1:10" ht="33" customHeight="1" x14ac:dyDescent="0.25">
      <c r="A65" s="34"/>
      <c r="B65" s="1474" t="s">
        <v>1088</v>
      </c>
      <c r="C65" s="1474"/>
      <c r="D65" s="1490"/>
      <c r="E65" s="1490"/>
      <c r="F65" s="1490"/>
      <c r="G65" s="1490"/>
      <c r="H65" s="34"/>
      <c r="I65" s="34"/>
      <c r="J65" s="34"/>
    </row>
    <row r="66" spans="1:10" x14ac:dyDescent="0.25">
      <c r="A66" s="34"/>
      <c r="B66" s="34"/>
      <c r="C66" s="34"/>
      <c r="D66" s="34"/>
      <c r="E66" s="34"/>
      <c r="F66" s="34"/>
      <c r="G66" s="34"/>
      <c r="H66" s="34"/>
      <c r="I66" s="34"/>
      <c r="J66" s="34"/>
    </row>
    <row r="67" spans="1:10" x14ac:dyDescent="0.25">
      <c r="A67" s="34"/>
      <c r="B67" s="34"/>
      <c r="C67" s="34"/>
      <c r="D67" s="34"/>
      <c r="E67" s="34"/>
      <c r="F67" s="34"/>
      <c r="G67" s="34"/>
      <c r="H67" s="34"/>
      <c r="I67" s="34"/>
      <c r="J67" s="34"/>
    </row>
    <row r="68" spans="1:10" ht="21" customHeight="1" x14ac:dyDescent="0.25">
      <c r="A68" s="34"/>
      <c r="B68" s="1507" t="s">
        <v>1089</v>
      </c>
      <c r="C68" s="1508"/>
      <c r="D68" s="1508"/>
      <c r="E68" s="1508"/>
      <c r="F68" s="1508"/>
      <c r="G68" s="1509"/>
      <c r="H68" s="34"/>
      <c r="I68" s="34"/>
      <c r="J68" s="34"/>
    </row>
    <row r="69" spans="1:10" ht="18" customHeight="1" x14ac:dyDescent="0.25">
      <c r="A69" s="34"/>
      <c r="B69" s="1504" t="s">
        <v>1090</v>
      </c>
      <c r="C69" s="1505"/>
      <c r="D69" s="1505"/>
      <c r="E69" s="1505"/>
      <c r="F69" s="1505"/>
      <c r="G69" s="1506"/>
      <c r="H69" s="34"/>
      <c r="I69" s="34"/>
      <c r="J69" s="34"/>
    </row>
    <row r="70" spans="1:10" ht="30" customHeight="1" x14ac:dyDescent="0.25">
      <c r="A70" s="34"/>
      <c r="B70" s="1504" t="s">
        <v>2165</v>
      </c>
      <c r="C70" s="1505"/>
      <c r="D70" s="1505"/>
      <c r="E70" s="1505"/>
      <c r="F70" s="1505"/>
      <c r="G70" s="1506"/>
      <c r="H70" s="34"/>
      <c r="I70" s="34"/>
      <c r="J70" s="34"/>
    </row>
    <row r="71" spans="1:10" ht="21" customHeight="1" x14ac:dyDescent="0.25">
      <c r="A71" s="34"/>
      <c r="B71" s="1511" t="s">
        <v>1091</v>
      </c>
      <c r="C71" s="1512"/>
      <c r="D71" s="1512"/>
      <c r="E71" s="1512"/>
      <c r="F71" s="1512"/>
      <c r="G71" s="1513"/>
      <c r="H71" s="34"/>
      <c r="I71" s="34"/>
      <c r="J71" s="34"/>
    </row>
    <row r="72" spans="1:10" x14ac:dyDescent="0.25">
      <c r="A72" s="34"/>
      <c r="B72" s="34"/>
      <c r="C72" s="34"/>
      <c r="D72" s="34"/>
      <c r="E72" s="34"/>
      <c r="F72" s="34"/>
      <c r="G72" s="34"/>
      <c r="H72" s="34"/>
      <c r="I72" s="34"/>
      <c r="J72" s="34"/>
    </row>
    <row r="73" spans="1:10" x14ac:dyDescent="0.25">
      <c r="A73" s="34"/>
      <c r="B73" s="34"/>
      <c r="C73" s="34"/>
      <c r="D73" s="34"/>
      <c r="E73" s="34"/>
      <c r="F73" s="34"/>
      <c r="G73" s="34"/>
      <c r="H73" s="34"/>
      <c r="I73" s="34"/>
      <c r="J73" s="34"/>
    </row>
    <row r="74" spans="1:10" ht="18" customHeight="1" x14ac:dyDescent="0.25">
      <c r="A74" s="34"/>
      <c r="B74" s="1514" t="s">
        <v>1092</v>
      </c>
      <c r="C74" s="1514"/>
      <c r="D74" s="1514"/>
      <c r="E74" s="1514"/>
      <c r="F74" s="1514"/>
      <c r="G74" s="1514"/>
      <c r="H74" s="34"/>
      <c r="I74" s="34"/>
      <c r="J74" s="34"/>
    </row>
    <row r="75" spans="1:10" ht="33.75" customHeight="1" x14ac:dyDescent="0.25">
      <c r="A75" s="34"/>
      <c r="B75" s="1515" t="s">
        <v>1093</v>
      </c>
      <c r="C75" s="1515"/>
      <c r="D75" s="1515"/>
      <c r="E75" s="1515"/>
      <c r="F75" s="1515"/>
      <c r="G75" s="1515"/>
      <c r="H75" s="34"/>
      <c r="I75" s="34"/>
      <c r="J75" s="34"/>
    </row>
    <row r="76" spans="1:10" ht="58.5" customHeight="1" x14ac:dyDescent="0.25">
      <c r="A76" s="34"/>
      <c r="B76" s="1515" t="s">
        <v>1094</v>
      </c>
      <c r="C76" s="1515"/>
      <c r="D76" s="1515"/>
      <c r="E76" s="1515"/>
      <c r="F76" s="1515"/>
      <c r="G76" s="1515"/>
      <c r="H76" s="34"/>
      <c r="I76" s="34"/>
      <c r="J76" s="34"/>
    </row>
    <row r="77" spans="1:10" ht="31.5" customHeight="1" x14ac:dyDescent="0.25">
      <c r="A77" s="34"/>
      <c r="B77" s="1515" t="s">
        <v>1095</v>
      </c>
      <c r="C77" s="1515"/>
      <c r="D77" s="1515"/>
      <c r="E77" s="1515"/>
      <c r="F77" s="1515"/>
      <c r="G77" s="1515"/>
      <c r="H77" s="34"/>
      <c r="I77" s="34"/>
      <c r="J77" s="34"/>
    </row>
    <row r="78" spans="1:10" x14ac:dyDescent="0.25">
      <c r="A78" s="34"/>
      <c r="B78" s="34"/>
      <c r="C78" s="34"/>
      <c r="D78" s="34"/>
      <c r="E78" s="34"/>
      <c r="F78" s="34"/>
      <c r="G78" s="34"/>
      <c r="H78" s="34"/>
      <c r="I78" s="34"/>
      <c r="J78" s="34"/>
    </row>
    <row r="79" spans="1:10" ht="21" customHeight="1" thickBot="1" x14ac:dyDescent="0.3">
      <c r="A79" s="34"/>
      <c r="B79" s="1516" t="s">
        <v>1096</v>
      </c>
      <c r="C79" s="1517"/>
      <c r="D79" s="1517"/>
      <c r="E79" s="1517"/>
      <c r="F79" s="1517"/>
      <c r="G79" s="1517"/>
      <c r="H79" s="34"/>
      <c r="I79" s="34"/>
      <c r="J79" s="34"/>
    </row>
    <row r="80" spans="1:10" ht="21" customHeight="1" thickBot="1" x14ac:dyDescent="0.3">
      <c r="A80" s="34"/>
      <c r="B80" s="1518" t="s">
        <v>1097</v>
      </c>
      <c r="C80" s="1519"/>
      <c r="D80" s="1520"/>
      <c r="E80" s="1521"/>
      <c r="F80" s="1521"/>
      <c r="G80" s="1522"/>
      <c r="H80" s="34"/>
      <c r="I80" s="34"/>
      <c r="J80" s="34"/>
    </row>
    <row r="81" spans="1:12" ht="21" customHeight="1" thickBot="1" x14ac:dyDescent="0.3">
      <c r="A81" s="34"/>
      <c r="B81" s="1518" t="s">
        <v>1098</v>
      </c>
      <c r="C81" s="1519"/>
      <c r="D81" s="1520"/>
      <c r="E81" s="1521"/>
      <c r="F81" s="1521"/>
      <c r="G81" s="1522"/>
      <c r="I81" s="34"/>
      <c r="J81" s="34"/>
    </row>
    <row r="82" spans="1:12" x14ac:dyDescent="0.25">
      <c r="A82" s="34"/>
      <c r="B82" s="34"/>
      <c r="C82" s="34"/>
      <c r="D82" s="34"/>
      <c r="E82" s="34"/>
      <c r="F82" s="34"/>
      <c r="G82" s="34"/>
      <c r="H82" s="34"/>
      <c r="I82" s="34"/>
      <c r="J82" s="34"/>
    </row>
    <row r="83" spans="1:12" x14ac:dyDescent="0.25">
      <c r="A83" s="34"/>
      <c r="B83" s="34"/>
      <c r="C83" s="34"/>
      <c r="D83" s="34"/>
      <c r="E83" s="34"/>
      <c r="F83" s="34"/>
      <c r="G83" s="34"/>
      <c r="H83" s="34"/>
      <c r="I83" s="34"/>
      <c r="J83" s="34"/>
    </row>
    <row r="84" spans="1:12" hidden="1" x14ac:dyDescent="0.25"/>
    <row r="85" spans="1:12" hidden="1" x14ac:dyDescent="0.25">
      <c r="K85" s="1510"/>
      <c r="L85" s="1510"/>
    </row>
    <row r="86" spans="1:12" hidden="1" x14ac:dyDescent="0.25"/>
    <row r="87" spans="1:12" hidden="1" x14ac:dyDescent="0.25"/>
    <row r="88" spans="1:12" hidden="1" x14ac:dyDescent="0.25"/>
    <row r="89" spans="1:12" ht="15" hidden="1" customHeight="1" x14ac:dyDescent="0.25"/>
    <row r="90" spans="1:12" ht="15" hidden="1" customHeight="1" x14ac:dyDescent="0.25"/>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algorithmName="SHA-512" hashValue="sJwzFhbQ+h4+b2F3Jr2xTRbO2eRurKiT1Ctksm8+YIm6Bp+KK75E3zTzom5IZ9chJYXsKQS4m1c8L7p+jMIhxQ==" saltValue="FmffBa7BZzawuXO3KVjvwA==" spinCount="100000" sheet="1" objects="1" scenarios="1" formatRows="0"/>
  <mergeCells count="86">
    <mergeCell ref="K85:L85"/>
    <mergeCell ref="B70:G70"/>
    <mergeCell ref="B71:G71"/>
    <mergeCell ref="B74:G74"/>
    <mergeCell ref="B75:G75"/>
    <mergeCell ref="B76:G76"/>
    <mergeCell ref="B77:G77"/>
    <mergeCell ref="B79:G79"/>
    <mergeCell ref="B80:C80"/>
    <mergeCell ref="D80:G80"/>
    <mergeCell ref="B81:C81"/>
    <mergeCell ref="D81:G81"/>
    <mergeCell ref="B69:G69"/>
    <mergeCell ref="B61:C61"/>
    <mergeCell ref="D61:G61"/>
    <mergeCell ref="B62:C62"/>
    <mergeCell ref="D62:G62"/>
    <mergeCell ref="B63:C63"/>
    <mergeCell ref="D63:G63"/>
    <mergeCell ref="B64:C64"/>
    <mergeCell ref="D64:G64"/>
    <mergeCell ref="B65:C65"/>
    <mergeCell ref="D65:G65"/>
    <mergeCell ref="B68:G68"/>
    <mergeCell ref="B57:C60"/>
    <mergeCell ref="D57:G60"/>
    <mergeCell ref="B43:C43"/>
    <mergeCell ref="D43:G43"/>
    <mergeCell ref="B44:G45"/>
    <mergeCell ref="B48:G48"/>
    <mergeCell ref="B49:G49"/>
    <mergeCell ref="B50:F50"/>
    <mergeCell ref="B51:F51"/>
    <mergeCell ref="B52:F52"/>
    <mergeCell ref="B55:G55"/>
    <mergeCell ref="B56:C56"/>
    <mergeCell ref="D56:G56"/>
    <mergeCell ref="B40:C40"/>
    <mergeCell ref="D40:G40"/>
    <mergeCell ref="B41:C41"/>
    <mergeCell ref="D41:G41"/>
    <mergeCell ref="B42:C42"/>
    <mergeCell ref="D42:G42"/>
    <mergeCell ref="B39:C39"/>
    <mergeCell ref="D39:G39"/>
    <mergeCell ref="B31:C31"/>
    <mergeCell ref="D31:G31"/>
    <mergeCell ref="B32:C32"/>
    <mergeCell ref="D32:G32"/>
    <mergeCell ref="B33:C33"/>
    <mergeCell ref="D33:G33"/>
    <mergeCell ref="B36:G36"/>
    <mergeCell ref="B37:C37"/>
    <mergeCell ref="D37:G37"/>
    <mergeCell ref="B38:C38"/>
    <mergeCell ref="D38:G38"/>
    <mergeCell ref="B30:C30"/>
    <mergeCell ref="D30:G30"/>
    <mergeCell ref="B23:C23"/>
    <mergeCell ref="D23:G23"/>
    <mergeCell ref="B24:C24"/>
    <mergeCell ref="D24:G24"/>
    <mergeCell ref="B25:C25"/>
    <mergeCell ref="D25:G25"/>
    <mergeCell ref="B26:C26"/>
    <mergeCell ref="D26:G26"/>
    <mergeCell ref="B28:G28"/>
    <mergeCell ref="B29:C29"/>
    <mergeCell ref="D29:G29"/>
    <mergeCell ref="B13:C13"/>
    <mergeCell ref="D13:G13"/>
    <mergeCell ref="B14:G14"/>
    <mergeCell ref="B15:G22"/>
    <mergeCell ref="B8:C8"/>
    <mergeCell ref="D8:G8"/>
    <mergeCell ref="B9:C10"/>
    <mergeCell ref="D9:G10"/>
    <mergeCell ref="B11:C12"/>
    <mergeCell ref="D11:G12"/>
    <mergeCell ref="B7:C7"/>
    <mergeCell ref="D7:G7"/>
    <mergeCell ref="A1:F1"/>
    <mergeCell ref="A3:F3"/>
    <mergeCell ref="B5:G5"/>
    <mergeCell ref="B6:C6"/>
    <mergeCell ref="D6:G6"/>
  </mergeCells>
  <dataValidations count="5">
    <dataValidation type="list" allowBlank="1" showInputMessage="1" showErrorMessage="1" sqref="D25:G25" xr:uid="{00000000-0002-0000-0800-000000000000}">
      <formula1>"Select,Certified,Silver,Gold,Platinum"</formula1>
    </dataValidation>
    <dataValidation type="list" allowBlank="1" showInputMessage="1" showErrorMessage="1" sqref="D26:G26 G50:G52" xr:uid="{00000000-0002-0000-0800-000001000000}">
      <formula1>"Select,Yes,No"</formula1>
    </dataValidation>
    <dataValidation allowBlank="1" showInputMessage="1" showErrorMessage="1" prompt="New fit-out, renovation, extension, etc.?" sqref="D9:G10" xr:uid="{00000000-0002-0000-0800-000002000000}"/>
    <dataValidation allowBlank="1" showInputMessage="1" showErrorMessage="1" prompt="Such as: office, retail, supermarket, restaurant, etc." sqref="D8:G8" xr:uid="{00000000-0002-0000-0800-000003000000}"/>
    <dataValidation allowBlank="1" showInputMessage="1" showErrorMessage="1" prompt="Also, describe if there is a basement." sqref="D13:G13" xr:uid="{00000000-0002-0000-0800-000004000000}"/>
  </dataValidations>
  <pageMargins left="0.7" right="0.7" top="0.75" bottom="0.75" header="0.3" footer="0.3"/>
  <pageSetup paperSize="9" orientation="portrait" horizontalDpi="300" verticalDpi="1200" r:id="rId1"/>
  <rowBreaks count="2" manualBreakCount="2">
    <brk id="27" max="16383" man="1"/>
    <brk id="5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Q132"/>
  <sheetViews>
    <sheetView showRowColHeaders="0" workbookViewId="0">
      <pane ySplit="3" topLeftCell="A4" activePane="bottomLeft" state="frozen"/>
      <selection pane="bottomLeft" activeCell="H7" sqref="H7"/>
    </sheetView>
  </sheetViews>
  <sheetFormatPr defaultColWidth="0" defaultRowHeight="14.25" zeroHeight="1" x14ac:dyDescent="0.2"/>
  <cols>
    <col min="1" max="1" width="4.140625" style="11" customWidth="1"/>
    <col min="2" max="2" width="34.42578125" style="11" customWidth="1"/>
    <col min="3" max="3" width="14.42578125" style="11" customWidth="1"/>
    <col min="4" max="4" width="13.7109375" style="11" customWidth="1"/>
    <col min="5" max="5" width="9.140625" style="11" customWidth="1"/>
    <col min="6" max="6" width="15.7109375" style="11" customWidth="1"/>
    <col min="7" max="8" width="16.5703125" style="11" customWidth="1"/>
    <col min="9" max="9" width="16.7109375" style="11" customWidth="1"/>
    <col min="10" max="10" width="13.7109375" style="11" customWidth="1"/>
    <col min="11" max="16384" width="9.140625" style="11" hidden="1"/>
  </cols>
  <sheetData>
    <row r="1" spans="1:17" ht="33" customHeight="1" x14ac:dyDescent="0.2">
      <c r="A1" s="1430" t="s">
        <v>15</v>
      </c>
      <c r="B1" s="1430"/>
      <c r="C1" s="1430"/>
      <c r="D1" s="1430"/>
      <c r="E1" s="1430"/>
      <c r="F1" s="1430"/>
      <c r="G1" s="1430"/>
      <c r="H1" s="1430"/>
      <c r="I1" s="1430"/>
      <c r="J1" s="1430"/>
      <c r="K1" s="40"/>
      <c r="L1" s="40"/>
      <c r="M1" s="40"/>
      <c r="N1" s="40"/>
      <c r="O1" s="40"/>
      <c r="P1" s="40"/>
      <c r="Q1" s="40"/>
    </row>
    <row r="2" spans="1:17" ht="18.75" customHeight="1" x14ac:dyDescent="0.2">
      <c r="A2" s="1541" t="s">
        <v>1868</v>
      </c>
      <c r="B2" s="1542"/>
      <c r="C2" s="1542"/>
      <c r="D2" s="1542"/>
      <c r="E2" s="1542"/>
      <c r="F2" s="1542"/>
      <c r="G2" s="1542"/>
      <c r="H2" s="1542"/>
      <c r="I2" s="1542"/>
      <c r="J2" s="1542"/>
      <c r="K2" s="13"/>
      <c r="L2" s="13"/>
      <c r="M2" s="13"/>
      <c r="N2" s="13"/>
      <c r="O2" s="13"/>
      <c r="P2" s="13"/>
      <c r="Q2" s="13"/>
    </row>
    <row r="3" spans="1:17" ht="18.75" customHeight="1" x14ac:dyDescent="0.2">
      <c r="A3" s="1542"/>
      <c r="B3" s="1542"/>
      <c r="C3" s="1542"/>
      <c r="D3" s="1542"/>
      <c r="E3" s="1542"/>
      <c r="F3" s="1542"/>
      <c r="G3" s="1542"/>
      <c r="H3" s="1542"/>
      <c r="I3" s="1542"/>
      <c r="J3" s="1542"/>
      <c r="K3" s="13"/>
      <c r="L3" s="13"/>
      <c r="M3" s="13"/>
      <c r="N3" s="13"/>
      <c r="O3" s="13"/>
      <c r="P3" s="13"/>
      <c r="Q3" s="13"/>
    </row>
    <row r="4" spans="1:17" ht="15" customHeight="1" x14ac:dyDescent="0.2">
      <c r="A4" s="12"/>
      <c r="B4" s="12"/>
      <c r="C4" s="12"/>
      <c r="D4" s="13"/>
      <c r="E4" s="13"/>
      <c r="F4" s="13"/>
      <c r="G4" s="13"/>
      <c r="H4" s="13"/>
      <c r="I4" s="13"/>
      <c r="J4" s="13"/>
      <c r="K4" s="13"/>
      <c r="L4" s="13"/>
      <c r="M4" s="13"/>
      <c r="N4" s="13"/>
      <c r="O4" s="13"/>
      <c r="P4" s="13"/>
      <c r="Q4" s="13"/>
    </row>
    <row r="5" spans="1:17" ht="18" customHeight="1" x14ac:dyDescent="0.2">
      <c r="A5" s="1530" t="s">
        <v>550</v>
      </c>
      <c r="B5" s="1530"/>
      <c r="C5" s="1530"/>
      <c r="D5" s="1530"/>
      <c r="E5" s="1530"/>
      <c r="F5" s="1530"/>
      <c r="G5" s="1530"/>
      <c r="H5" s="1530"/>
      <c r="I5" s="1530"/>
      <c r="J5" s="1531"/>
      <c r="K5" s="13"/>
      <c r="L5" s="13"/>
      <c r="M5" s="13"/>
      <c r="N5" s="13"/>
      <c r="O5" s="13"/>
      <c r="P5" s="13"/>
      <c r="Q5" s="13"/>
    </row>
    <row r="6" spans="1:17" x14ac:dyDescent="0.2">
      <c r="A6" s="12"/>
      <c r="B6" s="371"/>
      <c r="C6" s="374"/>
      <c r="D6" s="375"/>
      <c r="E6" s="375"/>
      <c r="F6" s="375"/>
      <c r="G6" s="13"/>
      <c r="H6" s="13"/>
      <c r="I6" s="13"/>
      <c r="J6" s="13"/>
      <c r="K6" s="13"/>
      <c r="L6" s="13"/>
      <c r="M6" s="13"/>
      <c r="N6" s="13"/>
      <c r="O6" s="13"/>
      <c r="P6" s="13"/>
      <c r="Q6" s="13"/>
    </row>
    <row r="7" spans="1:17" ht="19.5" customHeight="1" x14ac:dyDescent="0.2">
      <c r="A7" s="12"/>
      <c r="B7" s="370" t="s">
        <v>532</v>
      </c>
      <c r="C7" s="1523" t="s">
        <v>1580</v>
      </c>
      <c r="D7" s="1523"/>
      <c r="E7" s="1523"/>
      <c r="F7" s="1523"/>
      <c r="G7" s="13"/>
      <c r="H7" s="13"/>
      <c r="I7" s="13"/>
      <c r="J7" s="13"/>
      <c r="K7" s="13"/>
      <c r="L7" s="13"/>
      <c r="M7" s="13"/>
      <c r="N7" s="13"/>
      <c r="O7" s="13"/>
      <c r="P7" s="13"/>
      <c r="Q7" s="13"/>
    </row>
    <row r="8" spans="1:17" ht="20.25" customHeight="1" x14ac:dyDescent="0.2">
      <c r="A8" s="12"/>
      <c r="B8" s="371"/>
      <c r="C8" s="374"/>
      <c r="D8" s="375"/>
      <c r="E8" s="375"/>
      <c r="F8" s="375"/>
      <c r="G8" s="13"/>
      <c r="H8" s="13"/>
      <c r="I8" s="13"/>
      <c r="J8" s="13"/>
      <c r="K8" s="13"/>
      <c r="L8" s="13"/>
      <c r="M8" s="13"/>
      <c r="N8" s="13"/>
      <c r="O8" s="13"/>
      <c r="P8" s="13"/>
      <c r="Q8" s="13"/>
    </row>
    <row r="9" spans="1:17" ht="18" customHeight="1" x14ac:dyDescent="0.2">
      <c r="A9" s="1530" t="s">
        <v>549</v>
      </c>
      <c r="B9" s="1530"/>
      <c r="C9" s="1530"/>
      <c r="D9" s="1530"/>
      <c r="E9" s="1530"/>
      <c r="F9" s="1530"/>
      <c r="G9" s="1530"/>
      <c r="H9" s="1530"/>
      <c r="I9" s="1530"/>
      <c r="J9" s="1531"/>
      <c r="K9" s="13"/>
      <c r="L9" s="13"/>
      <c r="M9" s="13"/>
      <c r="N9" s="13"/>
      <c r="O9" s="13"/>
      <c r="P9" s="13"/>
      <c r="Q9" s="13"/>
    </row>
    <row r="10" spans="1:17" x14ac:dyDescent="0.2">
      <c r="A10" s="12"/>
      <c r="B10" s="371"/>
      <c r="C10" s="374"/>
      <c r="D10" s="375"/>
      <c r="E10" s="375"/>
      <c r="F10" s="375"/>
      <c r="G10" s="13"/>
      <c r="H10" s="13"/>
      <c r="I10" s="13"/>
      <c r="J10" s="13"/>
      <c r="K10" s="13"/>
      <c r="L10" s="13"/>
      <c r="M10" s="13"/>
      <c r="N10" s="13"/>
      <c r="O10" s="13"/>
      <c r="P10" s="13"/>
      <c r="Q10" s="13"/>
    </row>
    <row r="11" spans="1:17" ht="20.25" customHeight="1" x14ac:dyDescent="0.2">
      <c r="A11" s="12"/>
      <c r="B11" s="369" t="s">
        <v>103</v>
      </c>
      <c r="C11" s="1523"/>
      <c r="D11" s="1523"/>
      <c r="E11" s="1523"/>
      <c r="F11" s="1523"/>
      <c r="G11" s="13"/>
      <c r="H11" s="13"/>
      <c r="I11" s="13"/>
      <c r="J11" s="13"/>
      <c r="K11" s="13"/>
      <c r="L11" s="13"/>
      <c r="M11" s="13"/>
      <c r="N11" s="13"/>
      <c r="O11" s="13"/>
      <c r="P11" s="13"/>
      <c r="Q11" s="13"/>
    </row>
    <row r="12" spans="1:17" ht="20.25" customHeight="1" x14ac:dyDescent="0.2">
      <c r="A12" s="12"/>
      <c r="B12" s="369" t="s">
        <v>548</v>
      </c>
      <c r="C12" s="1523"/>
      <c r="D12" s="1523"/>
      <c r="E12" s="1523"/>
      <c r="F12" s="1523"/>
      <c r="G12" s="13"/>
      <c r="H12" s="13"/>
      <c r="I12" s="13"/>
      <c r="J12" s="13"/>
      <c r="K12" s="13"/>
      <c r="L12" s="13"/>
      <c r="M12" s="13"/>
      <c r="N12" s="13"/>
      <c r="O12" s="13"/>
      <c r="P12" s="13"/>
      <c r="Q12" s="13"/>
    </row>
    <row r="13" spans="1:17" ht="20.25" customHeight="1" x14ac:dyDescent="0.2">
      <c r="A13" s="12"/>
      <c r="B13" s="369" t="s">
        <v>559</v>
      </c>
      <c r="C13" s="1523"/>
      <c r="D13" s="1523"/>
      <c r="E13" s="1523"/>
      <c r="F13" s="1523"/>
      <c r="G13" s="13"/>
      <c r="H13" s="13"/>
      <c r="I13" s="13"/>
      <c r="J13" s="13"/>
      <c r="K13" s="13"/>
      <c r="L13" s="13"/>
      <c r="M13" s="13"/>
      <c r="N13" s="13"/>
      <c r="O13" s="13"/>
      <c r="P13" s="13"/>
      <c r="Q13" s="13"/>
    </row>
    <row r="14" spans="1:17" ht="20.25" customHeight="1" x14ac:dyDescent="0.2">
      <c r="A14" s="12"/>
      <c r="B14" s="369" t="s">
        <v>547</v>
      </c>
      <c r="C14" s="1523"/>
      <c r="D14" s="1523"/>
      <c r="E14" s="1523"/>
      <c r="F14" s="1523"/>
      <c r="G14" s="139"/>
      <c r="H14" s="13"/>
      <c r="I14" s="13"/>
      <c r="J14" s="13"/>
      <c r="K14" s="13"/>
      <c r="L14" s="13"/>
      <c r="M14" s="13"/>
      <c r="N14" s="13"/>
      <c r="O14" s="13"/>
      <c r="P14" s="13"/>
      <c r="Q14" s="13"/>
    </row>
    <row r="15" spans="1:17" ht="20.25" customHeight="1" x14ac:dyDescent="0.2">
      <c r="A15" s="12"/>
      <c r="B15" s="139"/>
      <c r="C15" s="139"/>
      <c r="D15" s="139"/>
      <c r="E15" s="139"/>
      <c r="F15" s="139"/>
      <c r="G15" s="139"/>
      <c r="H15" s="13"/>
      <c r="I15" s="13"/>
      <c r="J15" s="13"/>
      <c r="K15" s="13"/>
      <c r="L15" s="13"/>
      <c r="M15" s="13"/>
      <c r="N15" s="13"/>
      <c r="O15" s="13"/>
      <c r="P15" s="13"/>
      <c r="Q15" s="13"/>
    </row>
    <row r="16" spans="1:17" ht="18" customHeight="1" x14ac:dyDescent="0.2">
      <c r="A16" s="1530" t="s">
        <v>562</v>
      </c>
      <c r="B16" s="1530"/>
      <c r="C16" s="1530"/>
      <c r="D16" s="1530"/>
      <c r="E16" s="1530"/>
      <c r="F16" s="1530"/>
      <c r="G16" s="1530"/>
      <c r="H16" s="1530"/>
      <c r="I16" s="1530"/>
      <c r="J16" s="1531"/>
      <c r="K16" s="13"/>
      <c r="L16" s="13"/>
      <c r="M16" s="13"/>
      <c r="N16" s="13"/>
      <c r="O16" s="13"/>
      <c r="P16" s="13"/>
      <c r="Q16" s="13"/>
    </row>
    <row r="17" spans="1:17" x14ac:dyDescent="0.2">
      <c r="A17" s="12"/>
      <c r="B17" s="371"/>
      <c r="C17" s="374"/>
      <c r="D17" s="375"/>
      <c r="E17" s="375"/>
      <c r="F17" s="375"/>
      <c r="G17" s="13"/>
      <c r="H17" s="13"/>
      <c r="I17" s="13"/>
      <c r="J17" s="13"/>
      <c r="K17" s="13"/>
      <c r="L17" s="13"/>
      <c r="M17" s="13"/>
      <c r="N17" s="13"/>
      <c r="O17" s="13"/>
      <c r="P17" s="13"/>
      <c r="Q17" s="13"/>
    </row>
    <row r="18" spans="1:17" ht="20.25" customHeight="1" x14ac:dyDescent="0.2">
      <c r="A18" s="12"/>
      <c r="B18" s="369" t="s">
        <v>558</v>
      </c>
      <c r="C18" s="1523"/>
      <c r="D18" s="1523"/>
      <c r="E18" s="1523"/>
      <c r="F18" s="1523"/>
      <c r="G18" s="13"/>
      <c r="H18" s="13"/>
      <c r="I18" s="13"/>
      <c r="J18" s="13"/>
      <c r="K18" s="13"/>
      <c r="L18" s="13"/>
      <c r="M18" s="13"/>
      <c r="N18" s="13"/>
      <c r="O18" s="13"/>
      <c r="P18" s="13"/>
      <c r="Q18" s="13"/>
    </row>
    <row r="19" spans="1:17" ht="20.25" customHeight="1" x14ac:dyDescent="0.2">
      <c r="A19" s="12"/>
      <c r="B19" s="369" t="s">
        <v>563</v>
      </c>
      <c r="C19" s="1523"/>
      <c r="D19" s="1523"/>
      <c r="E19" s="1523"/>
      <c r="F19" s="1523"/>
      <c r="G19" s="13"/>
      <c r="H19" s="13"/>
      <c r="I19" s="13"/>
      <c r="J19" s="13"/>
      <c r="K19" s="13"/>
      <c r="L19" s="13"/>
      <c r="M19" s="13"/>
      <c r="N19" s="13"/>
      <c r="O19" s="13"/>
      <c r="P19" s="13"/>
      <c r="Q19" s="13"/>
    </row>
    <row r="20" spans="1:17" ht="18" customHeight="1" x14ac:dyDescent="0.2">
      <c r="A20" s="12"/>
      <c r="B20" s="371"/>
      <c r="C20" s="374"/>
      <c r="D20" s="375"/>
      <c r="E20" s="375"/>
      <c r="F20" s="375"/>
      <c r="G20" s="13"/>
      <c r="H20" s="13"/>
      <c r="I20" s="13"/>
      <c r="J20" s="13"/>
      <c r="K20" s="13"/>
      <c r="L20" s="13"/>
      <c r="M20" s="13"/>
      <c r="N20" s="13"/>
      <c r="O20" s="13"/>
      <c r="P20" s="13"/>
      <c r="Q20" s="13"/>
    </row>
    <row r="21" spans="1:17" ht="18" customHeight="1" x14ac:dyDescent="0.2">
      <c r="A21" s="1530" t="s">
        <v>560</v>
      </c>
      <c r="B21" s="1530"/>
      <c r="C21" s="1530"/>
      <c r="D21" s="1530"/>
      <c r="E21" s="1530"/>
      <c r="F21" s="1530"/>
      <c r="G21" s="1530"/>
      <c r="H21" s="1530"/>
      <c r="I21" s="1530"/>
      <c r="J21" s="1531"/>
      <c r="K21" s="13"/>
      <c r="L21" s="13"/>
      <c r="M21" s="13"/>
      <c r="N21" s="13"/>
      <c r="O21" s="13"/>
      <c r="P21" s="13"/>
      <c r="Q21" s="13"/>
    </row>
    <row r="22" spans="1:17" x14ac:dyDescent="0.2">
      <c r="A22" s="12"/>
      <c r="B22" s="371"/>
      <c r="C22" s="374"/>
      <c r="D22" s="375"/>
      <c r="E22" s="375"/>
      <c r="F22" s="375"/>
      <c r="G22" s="13"/>
      <c r="H22" s="13"/>
      <c r="I22" s="13"/>
      <c r="J22" s="13"/>
      <c r="K22" s="13"/>
      <c r="L22" s="13"/>
      <c r="M22" s="13"/>
      <c r="N22" s="13"/>
      <c r="O22" s="13"/>
      <c r="P22" s="13"/>
      <c r="Q22" s="13"/>
    </row>
    <row r="23" spans="1:17" ht="20.25" customHeight="1" x14ac:dyDescent="0.2">
      <c r="A23" s="12"/>
      <c r="B23" s="369" t="s">
        <v>530</v>
      </c>
      <c r="C23" s="1523"/>
      <c r="D23" s="1523"/>
      <c r="E23" s="1523"/>
      <c r="F23" s="1523"/>
      <c r="G23" s="139"/>
      <c r="H23" s="13"/>
      <c r="I23" s="13"/>
      <c r="J23" s="13"/>
      <c r="K23" s="13"/>
      <c r="L23" s="13"/>
      <c r="M23" s="13"/>
      <c r="N23" s="13"/>
      <c r="O23" s="13"/>
      <c r="P23" s="13"/>
      <c r="Q23" s="13"/>
    </row>
    <row r="24" spans="1:17" ht="20.25" customHeight="1" x14ac:dyDescent="0.2">
      <c r="A24" s="12"/>
      <c r="B24" s="369" t="s">
        <v>1718</v>
      </c>
      <c r="C24" s="1523"/>
      <c r="D24" s="1523"/>
      <c r="E24" s="1523"/>
      <c r="F24" s="1523"/>
      <c r="G24" s="139"/>
      <c r="H24" s="13"/>
      <c r="I24" s="13"/>
      <c r="J24" s="13"/>
      <c r="K24" s="13"/>
      <c r="L24" s="13"/>
      <c r="M24" s="13"/>
      <c r="N24" s="13"/>
      <c r="O24" s="13"/>
      <c r="P24" s="13"/>
      <c r="Q24" s="13"/>
    </row>
    <row r="25" spans="1:17" ht="20.25" customHeight="1" x14ac:dyDescent="0.2">
      <c r="A25" s="12"/>
      <c r="B25" s="369" t="s">
        <v>39</v>
      </c>
      <c r="C25" s="1523"/>
      <c r="D25" s="1523"/>
      <c r="E25" s="1523"/>
      <c r="F25" s="1523"/>
      <c r="G25" s="139"/>
      <c r="H25" s="13"/>
      <c r="I25" s="13"/>
      <c r="J25" s="13"/>
      <c r="K25" s="13"/>
      <c r="L25" s="13"/>
      <c r="M25" s="13"/>
      <c r="N25" s="13"/>
      <c r="O25" s="13"/>
      <c r="P25" s="13"/>
      <c r="Q25" s="13"/>
    </row>
    <row r="26" spans="1:17" ht="20.25" customHeight="1" x14ac:dyDescent="0.2">
      <c r="A26" s="12"/>
      <c r="B26" s="369" t="s">
        <v>483</v>
      </c>
      <c r="C26" s="1523"/>
      <c r="D26" s="1523"/>
      <c r="E26" s="1523"/>
      <c r="F26" s="1523"/>
      <c r="G26" s="139"/>
      <c r="H26" s="13"/>
      <c r="I26" s="13"/>
      <c r="J26" s="13"/>
      <c r="K26" s="13"/>
      <c r="L26" s="13"/>
      <c r="M26" s="13"/>
      <c r="N26" s="13"/>
      <c r="O26" s="13"/>
      <c r="P26" s="13"/>
      <c r="Q26" s="13"/>
    </row>
    <row r="27" spans="1:17" ht="20.25" customHeight="1" x14ac:dyDescent="0.2">
      <c r="A27" s="12"/>
      <c r="B27" s="1538" t="s">
        <v>551</v>
      </c>
      <c r="C27" s="1536" t="s">
        <v>42</v>
      </c>
      <c r="D27" s="1537"/>
      <c r="E27" s="1536" t="s">
        <v>552</v>
      </c>
      <c r="F27" s="1537"/>
      <c r="G27" s="13"/>
      <c r="H27" s="13"/>
      <c r="I27" s="13"/>
      <c r="J27" s="13"/>
      <c r="K27" s="13"/>
      <c r="L27" s="13"/>
      <c r="M27" s="13"/>
      <c r="N27" s="13"/>
      <c r="O27" s="13"/>
      <c r="P27" s="13"/>
      <c r="Q27" s="13"/>
    </row>
    <row r="28" spans="1:17" ht="18" customHeight="1" x14ac:dyDescent="0.2">
      <c r="A28" s="12"/>
      <c r="B28" s="1539"/>
      <c r="C28" s="1534" t="s">
        <v>53</v>
      </c>
      <c r="D28" s="1535"/>
      <c r="E28" s="1534"/>
      <c r="F28" s="1535"/>
      <c r="G28" s="13"/>
      <c r="H28" s="13"/>
      <c r="I28" s="13"/>
      <c r="J28" s="13"/>
      <c r="K28" s="13"/>
      <c r="L28" s="13"/>
      <c r="M28" s="13"/>
      <c r="N28" s="13"/>
      <c r="O28" s="13"/>
      <c r="P28" s="13"/>
      <c r="Q28" s="13"/>
    </row>
    <row r="29" spans="1:17" ht="18" customHeight="1" x14ac:dyDescent="0.2">
      <c r="A29" s="12"/>
      <c r="B29" s="1539"/>
      <c r="C29" s="1534" t="s">
        <v>53</v>
      </c>
      <c r="D29" s="1535"/>
      <c r="E29" s="382"/>
      <c r="F29" s="383"/>
      <c r="G29" s="13"/>
      <c r="H29" s="13"/>
      <c r="I29" s="13"/>
      <c r="J29" s="13"/>
      <c r="K29" s="13"/>
      <c r="L29" s="13"/>
      <c r="M29" s="13"/>
      <c r="N29" s="13"/>
      <c r="O29" s="13"/>
      <c r="P29" s="13"/>
      <c r="Q29" s="13"/>
    </row>
    <row r="30" spans="1:17" ht="18" customHeight="1" x14ac:dyDescent="0.2">
      <c r="A30" s="12"/>
      <c r="B30" s="1539"/>
      <c r="C30" s="1534" t="s">
        <v>53</v>
      </c>
      <c r="D30" s="1535"/>
      <c r="E30" s="1293"/>
      <c r="F30" s="1294"/>
      <c r="G30" s="13"/>
      <c r="H30" s="13"/>
      <c r="I30" s="13"/>
      <c r="J30" s="13"/>
      <c r="K30" s="13"/>
      <c r="L30" s="13"/>
      <c r="M30" s="13"/>
      <c r="N30" s="13"/>
      <c r="O30" s="13"/>
      <c r="P30" s="13"/>
      <c r="Q30" s="13"/>
    </row>
    <row r="31" spans="1:17" ht="18" customHeight="1" x14ac:dyDescent="0.2">
      <c r="A31" s="12"/>
      <c r="B31" s="1539"/>
      <c r="C31" s="1534" t="s">
        <v>53</v>
      </c>
      <c r="D31" s="1535"/>
      <c r="E31" s="1293"/>
      <c r="F31" s="1294"/>
      <c r="G31" s="13"/>
      <c r="H31" s="13"/>
      <c r="I31" s="13"/>
      <c r="J31" s="13"/>
      <c r="K31" s="13"/>
      <c r="L31" s="13"/>
      <c r="M31" s="13"/>
      <c r="N31" s="13"/>
      <c r="O31" s="13"/>
      <c r="P31" s="13"/>
      <c r="Q31" s="13"/>
    </row>
    <row r="32" spans="1:17" ht="18" customHeight="1" x14ac:dyDescent="0.2">
      <c r="A32" s="12"/>
      <c r="B32" s="1539"/>
      <c r="C32" s="1534" t="s">
        <v>53</v>
      </c>
      <c r="D32" s="1535"/>
      <c r="E32" s="1534"/>
      <c r="F32" s="1535"/>
      <c r="G32" s="13"/>
      <c r="H32" s="13"/>
      <c r="I32" s="13"/>
      <c r="J32" s="13"/>
      <c r="K32" s="13"/>
      <c r="L32" s="13"/>
      <c r="M32" s="13"/>
      <c r="N32" s="13"/>
      <c r="O32" s="13"/>
      <c r="P32" s="13"/>
      <c r="Q32" s="13"/>
    </row>
    <row r="33" spans="1:17" ht="18" customHeight="1" x14ac:dyDescent="0.2">
      <c r="A33" s="12"/>
      <c r="B33" s="1540"/>
      <c r="C33" s="1534" t="s">
        <v>53</v>
      </c>
      <c r="D33" s="1535"/>
      <c r="E33" s="1534"/>
      <c r="F33" s="1535"/>
      <c r="G33" s="13"/>
      <c r="H33" s="13"/>
      <c r="I33" s="13"/>
      <c r="J33" s="13"/>
      <c r="K33" s="13"/>
      <c r="L33" s="13"/>
      <c r="M33" s="13"/>
      <c r="N33" s="13"/>
      <c r="O33" s="13"/>
      <c r="P33" s="13"/>
      <c r="Q33" s="13"/>
    </row>
    <row r="34" spans="1:17" ht="18" customHeight="1" x14ac:dyDescent="0.2">
      <c r="A34" s="12"/>
      <c r="B34" s="371"/>
      <c r="C34" s="374"/>
      <c r="D34" s="375"/>
      <c r="E34" s="375"/>
      <c r="F34" s="375"/>
      <c r="G34" s="13"/>
      <c r="H34" s="13"/>
      <c r="I34" s="13"/>
      <c r="J34" s="13"/>
      <c r="K34" s="13"/>
      <c r="L34" s="13"/>
      <c r="M34" s="13"/>
      <c r="N34" s="13"/>
      <c r="O34" s="13"/>
      <c r="P34" s="13"/>
      <c r="Q34" s="13"/>
    </row>
    <row r="35" spans="1:17" ht="18" customHeight="1" x14ac:dyDescent="0.2">
      <c r="A35" s="1530" t="s">
        <v>553</v>
      </c>
      <c r="B35" s="1530"/>
      <c r="C35" s="1530"/>
      <c r="D35" s="1530"/>
      <c r="E35" s="1530"/>
      <c r="F35" s="1530"/>
      <c r="G35" s="1530"/>
      <c r="H35" s="1530"/>
      <c r="I35" s="1530"/>
      <c r="J35" s="1531"/>
      <c r="K35" s="13"/>
      <c r="L35" s="13"/>
      <c r="M35" s="13"/>
      <c r="N35" s="13"/>
      <c r="O35" s="13"/>
      <c r="P35" s="13"/>
      <c r="Q35" s="13"/>
    </row>
    <row r="36" spans="1:17" x14ac:dyDescent="0.2">
      <c r="A36" s="12"/>
      <c r="B36" s="12"/>
      <c r="C36" s="374"/>
      <c r="D36" s="375"/>
      <c r="E36" s="375"/>
      <c r="F36" s="375"/>
      <c r="G36" s="13"/>
      <c r="H36" s="13"/>
      <c r="I36" s="13"/>
      <c r="J36" s="13"/>
      <c r="K36" s="13"/>
      <c r="L36" s="13"/>
      <c r="M36" s="13"/>
      <c r="N36" s="13"/>
      <c r="O36" s="13"/>
      <c r="P36" s="13"/>
      <c r="Q36" s="13"/>
    </row>
    <row r="37" spans="1:17" ht="18" customHeight="1" x14ac:dyDescent="0.2">
      <c r="A37" s="12"/>
      <c r="B37" s="369" t="s">
        <v>1311</v>
      </c>
      <c r="C37" s="1523"/>
      <c r="D37" s="1523"/>
      <c r="E37" s="1523"/>
      <c r="F37" s="1523"/>
      <c r="G37" s="13"/>
      <c r="H37" s="13"/>
      <c r="I37" s="13"/>
      <c r="J37" s="13"/>
      <c r="K37" s="13"/>
      <c r="L37" s="13"/>
      <c r="M37" s="13"/>
      <c r="N37" s="13"/>
      <c r="O37" s="13"/>
      <c r="P37" s="13"/>
      <c r="Q37" s="13"/>
    </row>
    <row r="38" spans="1:17" ht="18" customHeight="1" x14ac:dyDescent="0.2">
      <c r="A38" s="12"/>
      <c r="B38" s="369" t="s">
        <v>554</v>
      </c>
      <c r="C38" s="1523"/>
      <c r="D38" s="1523"/>
      <c r="E38" s="1523"/>
      <c r="F38" s="1523"/>
      <c r="G38" s="13"/>
      <c r="H38" s="13"/>
      <c r="I38" s="13"/>
      <c r="J38" s="13"/>
      <c r="K38" s="13"/>
      <c r="L38" s="13"/>
      <c r="M38" s="13"/>
      <c r="N38" s="13"/>
      <c r="O38" s="13"/>
      <c r="P38" s="13"/>
      <c r="Q38" s="13"/>
    </row>
    <row r="39" spans="1:17" ht="18" customHeight="1" x14ac:dyDescent="0.2">
      <c r="A39" s="12"/>
      <c r="B39" s="369" t="s">
        <v>555</v>
      </c>
      <c r="C39" s="1523"/>
      <c r="D39" s="1523"/>
      <c r="E39" s="1523"/>
      <c r="F39" s="1523"/>
      <c r="G39" s="13"/>
      <c r="H39" s="13"/>
      <c r="I39" s="13"/>
      <c r="J39" s="13"/>
      <c r="K39" s="13"/>
      <c r="L39" s="13"/>
      <c r="M39" s="13"/>
      <c r="N39" s="13"/>
      <c r="O39" s="13"/>
      <c r="P39" s="13"/>
      <c r="Q39" s="13"/>
    </row>
    <row r="40" spans="1:17" ht="18" customHeight="1" x14ac:dyDescent="0.2">
      <c r="A40" s="12"/>
      <c r="B40" s="369" t="s">
        <v>556</v>
      </c>
      <c r="C40" s="1523"/>
      <c r="D40" s="1523"/>
      <c r="E40" s="1523"/>
      <c r="F40" s="1523"/>
      <c r="G40" s="13"/>
      <c r="H40" s="13"/>
      <c r="I40" s="13"/>
      <c r="J40" s="13"/>
      <c r="K40" s="13"/>
      <c r="L40" s="13"/>
      <c r="M40" s="13"/>
      <c r="N40" s="13"/>
      <c r="O40" s="13"/>
      <c r="P40" s="13"/>
      <c r="Q40" s="13"/>
    </row>
    <row r="41" spans="1:17" ht="18" customHeight="1" x14ac:dyDescent="0.2">
      <c r="A41" s="12"/>
      <c r="B41" s="369" t="s">
        <v>372</v>
      </c>
      <c r="C41" s="1523"/>
      <c r="D41" s="1523"/>
      <c r="E41" s="1523"/>
      <c r="F41" s="1523"/>
      <c r="G41" s="13"/>
      <c r="H41" s="13"/>
      <c r="I41" s="13"/>
      <c r="J41" s="13"/>
      <c r="K41" s="13"/>
      <c r="L41" s="13"/>
      <c r="M41" s="13"/>
      <c r="N41" s="13"/>
      <c r="O41" s="13"/>
      <c r="P41" s="13"/>
      <c r="Q41" s="13"/>
    </row>
    <row r="42" spans="1:17" ht="18" customHeight="1" x14ac:dyDescent="0.2">
      <c r="A42" s="12"/>
      <c r="B42" s="369" t="s">
        <v>557</v>
      </c>
      <c r="C42" s="1523"/>
      <c r="D42" s="1523"/>
      <c r="E42" s="1523"/>
      <c r="F42" s="1523"/>
      <c r="G42" s="13"/>
      <c r="H42" s="13"/>
      <c r="I42" s="13"/>
      <c r="J42" s="13"/>
      <c r="K42" s="13"/>
      <c r="L42" s="13"/>
      <c r="M42" s="13"/>
      <c r="N42" s="13"/>
      <c r="O42" s="13"/>
      <c r="P42" s="13"/>
      <c r="Q42" s="13"/>
    </row>
    <row r="43" spans="1:17" ht="18" customHeight="1" x14ac:dyDescent="0.2">
      <c r="A43" s="12"/>
      <c r="B43" s="369" t="s">
        <v>557</v>
      </c>
      <c r="C43" s="1523"/>
      <c r="D43" s="1523"/>
      <c r="E43" s="1523"/>
      <c r="F43" s="1523"/>
      <c r="G43" s="13"/>
      <c r="H43" s="13"/>
      <c r="I43" s="13"/>
      <c r="J43" s="13"/>
      <c r="K43" s="13"/>
      <c r="L43" s="13"/>
      <c r="M43" s="13"/>
      <c r="N43" s="13"/>
      <c r="O43" s="13"/>
      <c r="P43" s="13"/>
      <c r="Q43" s="13"/>
    </row>
    <row r="44" spans="1:17" ht="18" customHeight="1" x14ac:dyDescent="0.2">
      <c r="A44" s="12"/>
      <c r="B44" s="12"/>
      <c r="C44" s="374"/>
      <c r="D44" s="375"/>
      <c r="E44" s="375"/>
      <c r="F44" s="375"/>
      <c r="G44" s="13"/>
      <c r="H44" s="13"/>
      <c r="I44" s="13"/>
      <c r="J44" s="13"/>
      <c r="K44" s="13"/>
      <c r="L44" s="13"/>
      <c r="M44" s="13"/>
      <c r="N44" s="13"/>
      <c r="O44" s="13"/>
      <c r="P44" s="13"/>
      <c r="Q44" s="13"/>
    </row>
    <row r="45" spans="1:17" ht="16.5" hidden="1" customHeight="1" x14ac:dyDescent="0.2">
      <c r="A45" s="1532" t="s">
        <v>561</v>
      </c>
      <c r="B45" s="1532"/>
      <c r="C45" s="1532"/>
      <c r="D45" s="1532"/>
      <c r="E45" s="1532"/>
      <c r="F45" s="1532"/>
      <c r="G45" s="1532"/>
      <c r="H45" s="1532"/>
      <c r="I45" s="1532"/>
      <c r="J45" s="1533"/>
    </row>
    <row r="46" spans="1:17" hidden="1" x14ac:dyDescent="0.2">
      <c r="A46" s="14"/>
      <c r="B46" s="16"/>
      <c r="C46" s="16"/>
      <c r="D46" s="16"/>
      <c r="E46" s="16"/>
      <c r="F46" s="16"/>
      <c r="G46" s="16"/>
      <c r="H46" s="16"/>
      <c r="I46" s="16"/>
      <c r="J46" s="15"/>
    </row>
    <row r="47" spans="1:17" ht="21" hidden="1" customHeight="1" x14ac:dyDescent="0.2">
      <c r="A47" s="15"/>
      <c r="B47" s="1527" t="s">
        <v>484</v>
      </c>
      <c r="C47" s="1528"/>
      <c r="D47" s="1528"/>
      <c r="E47" s="1529"/>
      <c r="F47" s="363" t="s">
        <v>53</v>
      </c>
      <c r="G47" s="16"/>
      <c r="H47" s="16"/>
      <c r="I47" s="15"/>
      <c r="J47" s="15"/>
    </row>
    <row r="48" spans="1:17" ht="21" hidden="1" customHeight="1" x14ac:dyDescent="0.2">
      <c r="A48" s="15"/>
      <c r="B48" s="1527" t="s">
        <v>485</v>
      </c>
      <c r="C48" s="1528"/>
      <c r="D48" s="1528"/>
      <c r="E48" s="1529"/>
      <c r="F48" s="363" t="s">
        <v>53</v>
      </c>
      <c r="G48" s="16"/>
      <c r="H48" s="16"/>
      <c r="I48" s="15"/>
      <c r="J48" s="15"/>
    </row>
    <row r="49" spans="1:10" ht="21" hidden="1" customHeight="1" x14ac:dyDescent="0.2">
      <c r="A49" s="15"/>
      <c r="B49" s="1527" t="s">
        <v>486</v>
      </c>
      <c r="C49" s="1528"/>
      <c r="D49" s="1528"/>
      <c r="E49" s="1529"/>
      <c r="F49" s="363" t="s">
        <v>53</v>
      </c>
      <c r="G49" s="16"/>
      <c r="H49" s="16"/>
      <c r="I49" s="15"/>
      <c r="J49" s="15"/>
    </row>
    <row r="50" spans="1:10" ht="30.75" hidden="1" customHeight="1" x14ac:dyDescent="0.2">
      <c r="A50" s="15"/>
      <c r="B50" s="1527" t="s">
        <v>487</v>
      </c>
      <c r="C50" s="1528"/>
      <c r="D50" s="1528"/>
      <c r="E50" s="1529"/>
      <c r="F50" s="363" t="s">
        <v>53</v>
      </c>
      <c r="G50" s="16"/>
      <c r="H50" s="16"/>
      <c r="I50" s="15"/>
      <c r="J50" s="15"/>
    </row>
    <row r="51" spans="1:10" hidden="1" x14ac:dyDescent="0.2">
      <c r="A51" s="15"/>
      <c r="B51" s="17"/>
      <c r="C51" s="15"/>
      <c r="D51" s="15"/>
      <c r="E51" s="15"/>
      <c r="F51" s="15"/>
      <c r="G51" s="15"/>
      <c r="H51" s="16"/>
      <c r="I51" s="15"/>
      <c r="J51" s="15"/>
    </row>
    <row r="52" spans="1:10" ht="16.5" customHeight="1" x14ac:dyDescent="0.2">
      <c r="A52" s="1530" t="s">
        <v>564</v>
      </c>
      <c r="B52" s="1530"/>
      <c r="C52" s="1530"/>
      <c r="D52" s="1530"/>
      <c r="E52" s="1530"/>
      <c r="F52" s="1530"/>
      <c r="G52" s="1530"/>
      <c r="H52" s="1530"/>
      <c r="I52" s="1530"/>
      <c r="J52" s="1531"/>
    </row>
    <row r="53" spans="1:10" x14ac:dyDescent="0.2">
      <c r="A53" s="15"/>
      <c r="B53" s="17"/>
      <c r="C53" s="15"/>
      <c r="D53" s="15"/>
      <c r="E53" s="15"/>
      <c r="F53" s="15"/>
      <c r="G53" s="15"/>
      <c r="H53" s="16"/>
      <c r="I53" s="15"/>
      <c r="J53" s="15"/>
    </row>
    <row r="54" spans="1:10" ht="80.099999999999994" customHeight="1" x14ac:dyDescent="0.2">
      <c r="A54" s="15"/>
      <c r="B54" s="369" t="s">
        <v>565</v>
      </c>
      <c r="C54" s="1524"/>
      <c r="D54" s="1525"/>
      <c r="E54" s="1525"/>
      <c r="F54" s="1525"/>
      <c r="G54" s="1525"/>
      <c r="H54" s="1525"/>
      <c r="I54" s="1526"/>
      <c r="J54" s="15"/>
    </row>
    <row r="55" spans="1:10" x14ac:dyDescent="0.2">
      <c r="A55" s="15"/>
      <c r="B55" s="17"/>
      <c r="C55" s="15"/>
      <c r="D55" s="15"/>
      <c r="E55" s="15"/>
      <c r="F55" s="15"/>
      <c r="G55" s="15"/>
      <c r="H55" s="16"/>
      <c r="I55" s="15"/>
      <c r="J55" s="15"/>
    </row>
    <row r="56" spans="1:10" hidden="1" x14ac:dyDescent="0.2"/>
    <row r="57" spans="1:10" hidden="1" x14ac:dyDescent="0.2"/>
    <row r="58" spans="1:10" hidden="1" x14ac:dyDescent="0.2"/>
    <row r="59" spans="1:10" hidden="1" x14ac:dyDescent="0.2"/>
    <row r="60" spans="1:10" hidden="1" x14ac:dyDescent="0.2"/>
    <row r="61" spans="1:10" hidden="1" x14ac:dyDescent="0.2"/>
    <row r="62" spans="1:10" hidden="1" x14ac:dyDescent="0.2"/>
    <row r="63" spans="1:10" hidden="1" x14ac:dyDescent="0.2"/>
    <row r="64" spans="1:10"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sheetData>
  <sheetProtection algorithmName="SHA-512" hashValue="UPbhYsqnmAdUN7UE8HuLUrTqtemNZDmkN5oYlDz7ZhjeOA1wN9NKoBHxrrG4A3r5rJZwCTbaZpkg/p+kNUnsBA==" saltValue="bqerYutxRw6ms8QejsZq2w==" spinCount="100000" sheet="1" objects="1" scenarios="1" formatRows="0"/>
  <mergeCells count="44">
    <mergeCell ref="A1:J1"/>
    <mergeCell ref="B27:B33"/>
    <mergeCell ref="A2:J3"/>
    <mergeCell ref="A9:J9"/>
    <mergeCell ref="A16:J16"/>
    <mergeCell ref="C26:F26"/>
    <mergeCell ref="C18:F18"/>
    <mergeCell ref="C25:F25"/>
    <mergeCell ref="A21:J21"/>
    <mergeCell ref="C29:D29"/>
    <mergeCell ref="C23:F23"/>
    <mergeCell ref="C19:F19"/>
    <mergeCell ref="C24:F24"/>
    <mergeCell ref="A5:J5"/>
    <mergeCell ref="C7:F7"/>
    <mergeCell ref="C11:F11"/>
    <mergeCell ref="E32:F32"/>
    <mergeCell ref="C33:D33"/>
    <mergeCell ref="C40:F40"/>
    <mergeCell ref="E33:F33"/>
    <mergeCell ref="C12:F12"/>
    <mergeCell ref="C13:F13"/>
    <mergeCell ref="C27:D27"/>
    <mergeCell ref="E27:F27"/>
    <mergeCell ref="C28:D28"/>
    <mergeCell ref="E28:F28"/>
    <mergeCell ref="C31:D31"/>
    <mergeCell ref="C30:D30"/>
    <mergeCell ref="C42:F42"/>
    <mergeCell ref="C14:F14"/>
    <mergeCell ref="C54:I54"/>
    <mergeCell ref="B50:E50"/>
    <mergeCell ref="C41:F41"/>
    <mergeCell ref="C43:F43"/>
    <mergeCell ref="A35:J35"/>
    <mergeCell ref="A45:J45"/>
    <mergeCell ref="A52:J52"/>
    <mergeCell ref="B47:E47"/>
    <mergeCell ref="B48:E48"/>
    <mergeCell ref="B49:E49"/>
    <mergeCell ref="C37:F37"/>
    <mergeCell ref="C38:F38"/>
    <mergeCell ref="C39:F39"/>
    <mergeCell ref="C32:D32"/>
  </mergeCells>
  <dataValidations count="5">
    <dataValidation allowBlank="1" showInputMessage="1" showErrorMessage="1" prompt="The sum of the floor areas of a project space at all floor levels. Garages are not to be included as GFA." sqref="B23" xr:uid="{00000000-0002-0000-0700-000000000000}"/>
    <dataValidation type="list" allowBlank="1" showInputMessage="1" showErrorMessage="1" sqref="F47:F50" xr:uid="{00000000-0002-0000-0700-000001000000}">
      <formula1>"Select,Yes,No"</formula1>
    </dataValidation>
    <dataValidation type="list" allowBlank="1" showInputMessage="1" showErrorMessage="1" sqref="C7:F7" xr:uid="{00000000-0002-0000-0700-000002000000}">
      <formula1>"Select,Pre-assessment stage, Certification stage"</formula1>
    </dataValidation>
    <dataValidation type="list" allowBlank="1" showInputMessage="1" showErrorMessage="1" sqref="C28:D33" xr:uid="{00000000-0002-0000-0700-000003000000}">
      <formula1>"Select,Office,Retail,Residential,Hotel,Restaurant,Education,Healthcare,Industrial,Other"</formula1>
    </dataValidation>
    <dataValidation allowBlank="1" showInputMessage="1" showErrorMessage="1" prompt="The sum of the areas of all the occupied spaces of the project. Occupied spaces are the spaces that can accommodate human activities. Find more details in the Glossary sheet." sqref="B24" xr:uid="{00000000-0002-0000-0700-000004000000}"/>
  </dataValidation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11</vt:i4>
      </vt:variant>
    </vt:vector>
  </HeadingPairs>
  <TitlesOfParts>
    <vt:vector size="67" baseType="lpstr">
      <vt:lpstr>Submittals</vt:lpstr>
      <vt:lpstr>Home</vt:lpstr>
      <vt:lpstr>Acknowledgments</vt:lpstr>
      <vt:lpstr>Introduction</vt:lpstr>
      <vt:lpstr>Instructions</vt:lpstr>
      <vt:lpstr>Recommendations</vt:lpstr>
      <vt:lpstr>LOTUS SI Eligibility</vt:lpstr>
      <vt:lpstr>Application Form</vt:lpstr>
      <vt:lpstr>Project information</vt:lpstr>
      <vt:lpstr>Pre-assessment checklist</vt:lpstr>
      <vt:lpstr>Prov. Certification checklist</vt:lpstr>
      <vt:lpstr>Certification checklist </vt:lpstr>
      <vt:lpstr>LOTUS SI Scorecard</vt:lpstr>
      <vt:lpstr>Graphical Results</vt:lpstr>
      <vt:lpstr>Energy</vt:lpstr>
      <vt:lpstr>E-1 Space cooling</vt:lpstr>
      <vt:lpstr>E-2 Artificial Lighting</vt:lpstr>
      <vt:lpstr>E-3 Energy Efficient Appliances</vt:lpstr>
      <vt:lpstr>E-4 Energy Monitor</vt:lpstr>
      <vt:lpstr>Energy BPC</vt:lpstr>
      <vt:lpstr>Water</vt:lpstr>
      <vt:lpstr>W-1 Water Efficient Fixtures</vt:lpstr>
      <vt:lpstr>W-2 Drinking Water </vt:lpstr>
      <vt:lpstr>Materials &amp; Resources</vt:lpstr>
      <vt:lpstr>Materials Glossary</vt:lpstr>
      <vt:lpstr>MR-1 Sustainable Materials</vt:lpstr>
      <vt:lpstr>MR-2 Sustainable Furniture</vt:lpstr>
      <vt:lpstr>MR-3 Fit-out Waste</vt:lpstr>
      <vt:lpstr>MR-4 Operation Waste Management</vt:lpstr>
      <vt:lpstr>Health &amp; Comfort</vt:lpstr>
      <vt:lpstr>H-1 Fresh Air Supply</vt:lpstr>
      <vt:lpstr>H-2 Low-VOC Emissions </vt:lpstr>
      <vt:lpstr>H-3 Interior Plants</vt:lpstr>
      <vt:lpstr>H-4 Green Cleaning</vt:lpstr>
      <vt:lpstr>H-5 Daylighting</vt:lpstr>
      <vt:lpstr>H-6 External Views</vt:lpstr>
      <vt:lpstr>H-7 Thermal Comfort</vt:lpstr>
      <vt:lpstr>H&amp;C BPC</vt:lpstr>
      <vt:lpstr>Site &amp; Environment</vt:lpstr>
      <vt:lpstr>SE-1 Base building </vt:lpstr>
      <vt:lpstr>SE-2 Tenancy lease</vt:lpstr>
      <vt:lpstr>SE-3 Green Transportation </vt:lpstr>
      <vt:lpstr>SE-4 Refrigerants</vt:lpstr>
      <vt:lpstr>SE-BPC</vt:lpstr>
      <vt:lpstr>Management</vt:lpstr>
      <vt:lpstr>Man-1 Construction Stage</vt:lpstr>
      <vt:lpstr>Man-2 Commissioning</vt:lpstr>
      <vt:lpstr>Man-3 Maintenance</vt:lpstr>
      <vt:lpstr>Man-4 Green Awareness </vt:lpstr>
      <vt:lpstr>Man BPC</vt:lpstr>
      <vt:lpstr>Exceptional Performance</vt:lpstr>
      <vt:lpstr>EP-1 Enhanced Performance </vt:lpstr>
      <vt:lpstr>EP-2 Innovative Solutions</vt:lpstr>
      <vt:lpstr>Additional information</vt:lpstr>
      <vt:lpstr>Glossary</vt:lpstr>
      <vt:lpstr>Resources</vt:lpstr>
      <vt:lpstr>'Application Form'!Print_Area</vt:lpstr>
      <vt:lpstr>Process_type</vt:lpstr>
      <vt:lpstr>space_type_acoustic</vt:lpstr>
      <vt:lpstr>space_types</vt:lpstr>
      <vt:lpstr>Sustainable_furniture</vt:lpstr>
      <vt:lpstr>sustainable_furniture_features</vt:lpstr>
      <vt:lpstr>Sustainable_materials</vt:lpstr>
      <vt:lpstr>sustainable_materials_features</vt:lpstr>
      <vt:lpstr>type_AC</vt:lpstr>
      <vt:lpstr>type_ductedAC</vt:lpstr>
      <vt:lpstr>type_nonductedAC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VGBC</cp:lastModifiedBy>
  <cp:lastPrinted>2016-06-29T02:50:07Z</cp:lastPrinted>
  <dcterms:created xsi:type="dcterms:W3CDTF">2015-09-08T04:37:16Z</dcterms:created>
  <dcterms:modified xsi:type="dcterms:W3CDTF">2021-01-26T11:04:18Z</dcterms:modified>
</cp:coreProperties>
</file>